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showHorizontalScroll="0" showSheetTabs="0" xWindow="0" yWindow="0" windowWidth="19440" windowHeight="1176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45621"/>
</workbook>
</file>

<file path=xl/calcChain.xml><?xml version="1.0" encoding="utf-8"?>
<calcChain xmlns="http://schemas.openxmlformats.org/spreadsheetml/2006/main">
  <c r="V6" i="4" l="1"/>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S24" i="5" s="1"/>
  <c r="C24" i="5"/>
  <c r="B23" i="5"/>
  <c r="V23" i="5"/>
  <c r="U23" i="5"/>
  <c r="R23" i="5"/>
  <c r="Q23" i="5"/>
  <c r="C23" i="5"/>
  <c r="V22" i="5"/>
  <c r="U22" i="5"/>
  <c r="R22" i="5"/>
  <c r="Q22" i="5"/>
  <c r="C22" i="5"/>
  <c r="B22" i="5"/>
  <c r="B21" i="5"/>
  <c r="V21" i="5"/>
  <c r="U21" i="5"/>
  <c r="R21" i="5"/>
  <c r="Q21" i="5"/>
  <c r="C21" i="5"/>
  <c r="A21" i="5"/>
  <c r="B17" i="5"/>
  <c r="V20" i="5"/>
  <c r="A20" i="5" s="1"/>
  <c r="U20" i="5"/>
  <c r="R20" i="5"/>
  <c r="Q20" i="5"/>
  <c r="C20" i="5"/>
  <c r="B19" i="5"/>
  <c r="V19" i="5"/>
  <c r="A19" i="5" s="1"/>
  <c r="U19" i="5"/>
  <c r="R19" i="5"/>
  <c r="Q19" i="5"/>
  <c r="S19" i="5" s="1"/>
  <c r="C19" i="5"/>
  <c r="B18" i="5"/>
  <c r="V18" i="5"/>
  <c r="A18" i="5" s="1"/>
  <c r="U18" i="5"/>
  <c r="R18" i="5"/>
  <c r="Q18" i="5"/>
  <c r="C18" i="5"/>
  <c r="Z17" i="5"/>
  <c r="V17" i="5"/>
  <c r="A17" i="5" s="1"/>
  <c r="U17" i="5"/>
  <c r="R17" i="5"/>
  <c r="Q17" i="5"/>
  <c r="C17" i="5"/>
  <c r="AH16" i="5"/>
  <c r="Z16" i="5"/>
  <c r="V16" i="5"/>
  <c r="U16" i="5"/>
  <c r="R16" i="5"/>
  <c r="Q16" i="5"/>
  <c r="C16" i="5"/>
  <c r="Z15" i="5"/>
  <c r="B16" i="5"/>
  <c r="V15" i="5"/>
  <c r="U15" i="5"/>
  <c r="R15" i="5"/>
  <c r="Q15" i="5"/>
  <c r="C15" i="5"/>
  <c r="Z14" i="5"/>
  <c r="B14" i="5"/>
  <c r="V14" i="5"/>
  <c r="U14" i="5"/>
  <c r="R14" i="5"/>
  <c r="Q14" i="5"/>
  <c r="C14" i="5"/>
  <c r="AA13" i="5"/>
  <c r="Z13" i="5"/>
  <c r="AA12" i="5"/>
  <c r="Z12" i="5"/>
  <c r="AA11" i="5"/>
  <c r="Z11" i="5"/>
  <c r="AA10" i="5"/>
  <c r="Z10" i="5"/>
  <c r="Y10" i="5"/>
  <c r="E1" i="5"/>
  <c r="G33" i="5" s="1"/>
  <c r="U15" i="2"/>
  <c r="U16" i="2"/>
  <c r="U17" i="2"/>
  <c r="U18" i="2"/>
  <c r="U19" i="2"/>
  <c r="U20" i="2"/>
  <c r="U21" i="2"/>
  <c r="U22" i="2"/>
  <c r="U23" i="2"/>
  <c r="U24" i="2"/>
  <c r="U25" i="2"/>
  <c r="U26" i="2"/>
  <c r="U27" i="2"/>
  <c r="U28" i="2"/>
  <c r="U29" i="2"/>
  <c r="U14" i="2"/>
  <c r="C4" i="1"/>
  <c r="A1" i="4" s="1"/>
  <c r="E1" i="2"/>
  <c r="G33" i="2" s="1"/>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2" i="2"/>
  <c r="W33" i="2"/>
  <c r="N45" i="2"/>
  <c r="N46" i="2"/>
  <c r="N47" i="2"/>
  <c r="B20" i="5"/>
  <c r="B15" i="5"/>
  <c r="B26" i="2"/>
  <c r="B25" i="2"/>
  <c r="B20" i="2"/>
  <c r="B19" i="2"/>
  <c r="B16" i="2"/>
  <c r="B22" i="2"/>
  <c r="B17" i="2"/>
  <c r="B21" i="2"/>
  <c r="G31" i="2" l="1"/>
  <c r="G31" i="5"/>
  <c r="AA16" i="2"/>
  <c r="M12" i="2"/>
  <c r="L12" i="2"/>
  <c r="K12" i="2"/>
  <c r="Z18" i="5"/>
  <c r="M12" i="5"/>
  <c r="L12" i="5"/>
  <c r="K12" i="5"/>
  <c r="S20" i="5"/>
  <c r="S15" i="2"/>
  <c r="S22" i="5"/>
  <c r="C30" i="2"/>
  <c r="C33" i="6" s="1"/>
  <c r="S22" i="2"/>
  <c r="S14" i="2"/>
  <c r="A27" i="2"/>
  <c r="S18" i="5"/>
  <c r="S29" i="5"/>
  <c r="S17" i="5"/>
  <c r="S26" i="2"/>
  <c r="S18" i="2"/>
  <c r="C30" i="5"/>
  <c r="C38" i="6" s="1"/>
  <c r="S27" i="5"/>
  <c r="S13" i="2"/>
  <c r="D5" i="4" s="1"/>
  <c r="S16" i="2"/>
  <c r="S25" i="5"/>
  <c r="C45" i="6"/>
  <c r="C36" i="6"/>
  <c r="G36" i="6" s="1"/>
  <c r="C44" i="6"/>
  <c r="A18" i="2"/>
  <c r="A22" i="2"/>
  <c r="S25" i="2"/>
  <c r="S14" i="5"/>
  <c r="S23" i="5"/>
  <c r="A25" i="5"/>
  <c r="A15" i="2"/>
  <c r="S28" i="5"/>
  <c r="A23" i="2"/>
  <c r="A24" i="5"/>
  <c r="A16" i="5"/>
  <c r="S28" i="2"/>
  <c r="S20" i="2"/>
  <c r="A27" i="5"/>
  <c r="S27" i="2"/>
  <c r="S16" i="5"/>
  <c r="V13" i="5"/>
  <c r="AH14" i="5" s="1"/>
  <c r="S26" i="5"/>
  <c r="S13" i="5"/>
  <c r="D6" i="4" s="1"/>
  <c r="C6" i="4"/>
  <c r="C5" i="4"/>
  <c r="M30" i="5"/>
  <c r="Z22"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A14" i="5"/>
  <c r="Z21" i="5"/>
  <c r="AG13" i="2"/>
  <c r="Z23" i="2"/>
  <c r="AA15" i="5"/>
  <c r="Z25" i="2"/>
  <c r="Z22" i="2"/>
  <c r="Z20" i="5"/>
  <c r="AG13" i="5"/>
  <c r="AA17" i="5"/>
  <c r="Z19" i="5"/>
  <c r="AA17" i="2"/>
  <c r="Z21" i="2"/>
  <c r="AA14" i="2"/>
  <c r="AA16" i="5"/>
  <c r="Z24" i="2"/>
  <c r="Z19" i="2"/>
  <c r="Z20" i="2"/>
  <c r="Z18" i="2"/>
  <c r="Z24" i="5"/>
  <c r="Z25" i="5"/>
  <c r="Z23" i="5"/>
  <c r="AA15" i="2"/>
  <c r="C26" i="6" l="1"/>
  <c r="F26" i="6" s="1"/>
  <c r="C18" i="6"/>
  <c r="G18" i="6" s="1"/>
  <c r="C43" i="6"/>
  <c r="G43" i="6" s="1"/>
  <c r="C41" i="6"/>
  <c r="G41" i="6" s="1"/>
  <c r="F20" i="6"/>
  <c r="C28" i="6"/>
  <c r="C20" i="6"/>
  <c r="C27" i="6"/>
  <c r="C24" i="6"/>
  <c r="G24" i="6" s="1"/>
  <c r="C19" i="6"/>
  <c r="G19" i="6" s="1"/>
  <c r="C29" i="6"/>
  <c r="G29" i="6" s="1"/>
  <c r="C23" i="6"/>
  <c r="G23" i="6" s="1"/>
  <c r="C30" i="6"/>
  <c r="F30" i="6" s="1"/>
  <c r="C31" i="6"/>
  <c r="E31" i="6" s="1"/>
  <c r="I31" i="6" s="1"/>
  <c r="A31" i="6" s="1"/>
  <c r="C25" i="6"/>
  <c r="G25" i="6" s="1"/>
  <c r="C21" i="6"/>
  <c r="G21" i="6" s="1"/>
  <c r="C22" i="6"/>
  <c r="F22" i="6" s="1"/>
  <c r="C32" i="6"/>
  <c r="G32" i="6" s="1"/>
  <c r="F21" i="6"/>
  <c r="C35" i="6"/>
  <c r="E36" i="6"/>
  <c r="I36" i="6" s="1"/>
  <c r="C42" i="6"/>
  <c r="G42" i="6" s="1"/>
  <c r="C47" i="6"/>
  <c r="G47" i="6" s="1"/>
  <c r="C46" i="6"/>
  <c r="F46" i="6" s="1"/>
  <c r="E21" i="6"/>
  <c r="I21" i="6" s="1"/>
  <c r="F36" i="6"/>
  <c r="G38" i="6"/>
  <c r="F38" i="6"/>
  <c r="E38" i="6"/>
  <c r="I38" i="6" s="1"/>
  <c r="C48" i="6"/>
  <c r="F48" i="6" s="1"/>
  <c r="C37" i="6"/>
  <c r="E25" i="6"/>
  <c r="I25" i="6" s="1"/>
  <c r="C34" i="6"/>
  <c r="C40" i="6"/>
  <c r="F40" i="6" s="1"/>
  <c r="C39" i="6"/>
  <c r="F25" i="6"/>
  <c r="C49" i="6"/>
  <c r="F49" i="6" s="1"/>
  <c r="F32" i="6"/>
  <c r="F44" i="6"/>
  <c r="G44" i="6"/>
  <c r="E44" i="6"/>
  <c r="I44" i="6" s="1"/>
  <c r="A44" i="6" s="1"/>
  <c r="C1" i="4"/>
  <c r="F43" i="6"/>
  <c r="F24" i="6"/>
  <c r="E29" i="6"/>
  <c r="I29" i="6" s="1"/>
  <c r="A29" i="6" s="1"/>
  <c r="F29" i="6"/>
  <c r="G33" i="6"/>
  <c r="E33" i="6"/>
  <c r="I33" i="6" s="1"/>
  <c r="A33" i="6" s="1"/>
  <c r="F33" i="6"/>
  <c r="G28" i="6"/>
  <c r="G45" i="6"/>
  <c r="F45" i="6"/>
  <c r="E45" i="6"/>
  <c r="I45" i="6" s="1"/>
  <c r="A45" i="6" s="1"/>
  <c r="E48" i="6"/>
  <c r="I48" i="6" s="1"/>
  <c r="A48" i="6" s="1"/>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F35" i="6"/>
  <c r="T6" i="4"/>
  <c r="G6" i="4"/>
  <c r="I6" i="4"/>
  <c r="L5" i="4"/>
  <c r="H5" i="4"/>
  <c r="F5" i="4"/>
  <c r="I5" i="4"/>
  <c r="O6" i="4"/>
  <c r="J6" i="4"/>
  <c r="S5" i="4"/>
  <c r="T5" i="4"/>
  <c r="G5" i="4"/>
  <c r="M5" i="4"/>
  <c r="N5" i="4"/>
  <c r="P5" i="4"/>
  <c r="J5" i="4"/>
  <c r="S6" i="4"/>
  <c r="K5" i="4"/>
  <c r="U5" i="4"/>
  <c r="F6" i="4"/>
  <c r="O5" i="4"/>
  <c r="R5" i="4"/>
  <c r="L6" i="4"/>
  <c r="N6" i="4"/>
  <c r="Q6" i="4"/>
  <c r="K6" i="4"/>
  <c r="Q5" i="4"/>
  <c r="R6" i="4"/>
  <c r="P6" i="4"/>
  <c r="M6" i="4"/>
  <c r="E30" i="6" l="1"/>
  <c r="I30" i="6" s="1"/>
  <c r="A30" i="6" s="1"/>
  <c r="E24" i="6"/>
  <c r="I24" i="6" s="1"/>
  <c r="F18" i="6"/>
  <c r="F41" i="6"/>
  <c r="E32" i="6"/>
  <c r="I32" i="6" s="1"/>
  <c r="A32" i="6" s="1"/>
  <c r="E18" i="6"/>
  <c r="I18" i="6" s="1"/>
  <c r="E23" i="6"/>
  <c r="I23" i="6" s="1"/>
  <c r="F23" i="6"/>
  <c r="G26" i="6"/>
  <c r="E26" i="6"/>
  <c r="I26" i="6" s="1"/>
  <c r="A26" i="6" s="1"/>
  <c r="E41" i="6"/>
  <c r="I41" i="6" s="1"/>
  <c r="E47" i="6"/>
  <c r="I47" i="6" s="1"/>
  <c r="A47" i="6" s="1"/>
  <c r="E43" i="6"/>
  <c r="I43" i="6" s="1"/>
  <c r="A43" i="6" s="1"/>
  <c r="F47" i="6"/>
  <c r="F42" i="6"/>
  <c r="E42" i="6"/>
  <c r="I42" i="6" s="1"/>
  <c r="A42" i="6" s="1"/>
  <c r="F27" i="6"/>
  <c r="G27" i="6"/>
  <c r="E27" i="6"/>
  <c r="I27" i="6" s="1"/>
  <c r="A27" i="6" s="1"/>
  <c r="G30" i="6"/>
  <c r="F19" i="6"/>
  <c r="E19" i="6"/>
  <c r="I19" i="6" s="1"/>
  <c r="G20" i="6"/>
  <c r="E20" i="6"/>
  <c r="I20" i="6" s="1"/>
  <c r="G22" i="6"/>
  <c r="E22" i="6"/>
  <c r="I22" i="6" s="1"/>
  <c r="E28" i="6"/>
  <c r="I28" i="6" s="1"/>
  <c r="A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U6" i="4"/>
  <c r="H6" i="4"/>
  <c r="A14" i="6" l="1"/>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3" i="4"/>
  <c r="B36" i="4"/>
  <c r="A36" i="4" s="1"/>
  <c r="D44" i="4"/>
  <c r="B44" i="4"/>
  <c r="A44" i="4" s="1"/>
  <c r="E44" i="4"/>
  <c r="F44" i="4"/>
  <c r="G44" i="4"/>
  <c r="C44" i="4"/>
  <c r="E22" i="4" l="1"/>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authors>
    <author/>
  </authors>
  <commentList>
    <comment ref="K10" authorId="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authors>
    <author/>
  </authors>
  <commentList>
    <comment ref="K10" authorId="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<sst xmlns="http://schemas.openxmlformats.org/spreadsheetml/2006/main" count="375" uniqueCount="202">
  <si>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</si>
  <si>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</si>
  <si>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</si>
  <si>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</si>
  <si>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</si>
  <si>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</si>
  <si>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</si>
  <si>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</si>
  <si>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</si>
  <si>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</si>
  <si>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</si>
  <si>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</si>
  <si>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</si>
  <si>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</si>
  <si>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</si>
  <si>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</si>
  <si>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</si>
  <si>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</si>
  <si>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</si>
  <si>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</si>
  <si>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</si>
  <si>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</si>
  <si>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</si>
  <si>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</si>
  <si>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</si>
  <si>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</si>
  <si>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</si>
  <si>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</si>
  <si>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</si>
  <si>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</si>
  <si>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</si>
  <si>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</si>
  <si>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</si>
  <si>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</si>
  <si>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</si>
  <si>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</si>
  <si>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</si>
  <si>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</si>
  <si>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</si>
  <si>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</si>
  <si>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</si>
  <si>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</si>
  <si>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</si>
  <si>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</si>
  <si>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</si>
  <si>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</si>
  <si>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</si>
  <si>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</si>
  <si>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</si>
  <si>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</si>
  <si>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</si>
  <si>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</si>
  <si>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</si>
  <si>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</si>
  <si>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</si>
  <si>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</si>
  <si>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</si>
  <si>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</si>
  <si>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</si>
  <si>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</si>
  <si>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</si>
  <si>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</si>
  <si>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</si>
  <si>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</si>
  <si>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</si>
  <si>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</si>
  <si>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</si>
  <si>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</si>
  <si>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</si>
  <si>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</si>
  <si>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</si>
  <si>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</si>
  <si>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</si>
  <si>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</si>
  <si>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</si>
  <si>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</si>
  <si>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</si>
  <si>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</si>
  <si>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</si>
  <si>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</si>
  <si>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</si>
  <si>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</si>
  <si>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</si>
  <si>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</si>
  <si>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</si>
  <si>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</si>
  <si>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</si>
  <si>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miyakoutaku_pp@yahoo.co.jp</t>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</si>
  <si>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</si>
  <si>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</si>
  <si>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</si>
  <si>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</si>
  <si>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</si>
  <si>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</si>
  <si>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</si>
  <si>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</si>
  <si>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</si>
  <si>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</si>
  <si>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</si>
  <si>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</si>
  <si>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</si>
  <si>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</si>
  <si>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</si>
  <si>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</si>
  <si>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</si>
  <si>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</si>
  <si>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</si>
  <si>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</si>
  <si>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</si>
  <si>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</si>
  <si>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</si>
  <si>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</si>
  <si>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</si>
  <si>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</si>
  <si>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</si>
  <si>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</si>
  <si>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</si>
  <si>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</si>
  <si>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</si>
  <si>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</si>
  <si>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</si>
  <si>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</si>
  <si>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</si>
  <si>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</si>
  <si>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</si>
  <si>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</si>
  <si>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</si>
  <si>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</si>
  <si>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</si>
  <si>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</si>
  <si>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</si>
  <si>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</si>
  <si>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</si>
  <si>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</si>
  <si>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</si>
  <si>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</si>
  <si>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</si>
  <si>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</si>
  <si>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</si>
  <si>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</si>
  <si>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</si>
  <si>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</si>
  <si>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</si>
  <si>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</si>
  <si>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</si>
  <si>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</si>
  <si>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</si>
  <si>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</si>
  <si>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</si>
  <si>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</si>
  <si>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</si>
  <si>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</si>
  <si>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都農高等学校</t>
  </si>
  <si>
    <t>高鍋農業高等学校</t>
  </si>
  <si>
    <t>高鍋高等学校</t>
  </si>
  <si>
    <t>妻高等学校</t>
  </si>
  <si>
    <t>西都商業高等学校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</si>
  <si>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</si>
  <si>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</si>
  <si>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</si>
  <si>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</si>
  <si>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</si>
  <si>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</si>
  <si>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</si>
  <si>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</si>
  <si>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</si>
  <si>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</si>
  <si>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</si>
  <si>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</si>
  <si>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</si>
  <si>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</si>
  <si>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</si>
  <si>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</si>
  <si>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</si>
  <si>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</si>
  <si>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</si>
  <si>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</si>
  <si>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</si>
  <si>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</si>
  <si>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</si>
  <si>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</si>
  <si>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</si>
  <si>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</si>
  <si>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</si>
  <si>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</si>
  <si>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都城東高等学校</t>
  </si>
  <si>
    <t>小林高等学校</t>
  </si>
  <si>
    <t>小林秀峰高等学校</t>
  </si>
  <si>
    <t>小林西高等学校</t>
  </si>
  <si>
    <t>高原高等学校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</si>
  <si>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</si>
  <si>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</si>
  <si>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</si>
  <si>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</si>
  <si>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</si>
  <si>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</si>
  <si>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</si>
  <si>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平成30年4月27日（金）</t>
    <rPh sb="11" eb="12">
      <t>キン</t>
    </rPh>
    <phoneticPr fontId="16"/>
  </si>
  <si>
    <t>平成30年7月17日（火）</t>
    <rPh sb="11" eb="12">
      <t>ヒ</t>
    </rPh>
    <phoneticPr fontId="16"/>
  </si>
  <si>
    <t>平成30年9月26日（水）</t>
    <rPh sb="11" eb="12">
      <t>スイ</t>
    </rPh>
    <phoneticPr fontId="16"/>
  </si>
  <si>
    <t>平成　３０　年　○○　月　○○　日</t>
    <phoneticPr fontId="16"/>
  </si>
  <si>
    <t>平成　３０　年　○○　月　○○　日</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</si>
</sst>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97">
    <xf numFmtId="0" fontId="0" fillId="0" borderId="0" xfId="0">
      <alignment vertical="center"/>
    </xf>
    <xf numFmtId="0" fontId="2" fillId="0" borderId="0" xfId="1" applyNumberFormat="1" applyFont="1" applyFill="1" applyBorder="1" applyAlignment="1" applyProtection="1">
      <alignment vertical="center"/>
    </xf>
    <xf numFmtId="0" fontId="0" fillId="2" borderId="1" xfId="0" applyFont="1" applyFill="1" applyBorder="1" applyAlignment="1">
      <alignment horizontal="justify" vertical="center" indent="1"/>
    </xf>
    <xf numFmtId="0" fontId="0" fillId="0" borderId="1" xfId="0" applyFont="1" applyBorder="1" applyAlignment="1" applyProtection="1">
      <alignment horizontal="center" vertical="center"/>
      <protection locked="0"/>
    </xf>
    <xf numFmtId="0" fontId="0" fillId="0" borderId="0" xfId="0" applyAlignment="1">
      <alignment horizontal="justify" vertical="center" indent="1"/>
    </xf>
    <xf numFmtId="0" fontId="0" fillId="0" borderId="0" xfId="0" applyBorder="1" applyAlignment="1">
      <alignment vertical="center"/>
    </xf>
    <xf numFmtId="0" fontId="0" fillId="0" borderId="0" xfId="0" applyBorder="1">
      <alignment vertical="center"/>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Alignme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vertical="center"/>
      <protection locked="0"/>
    </xf>
    <xf numFmtId="0" fontId="4" fillId="0" borderId="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5" fillId="0" borderId="28" xfId="0" applyNumberFormat="1" applyFont="1" applyBorder="1" applyAlignment="1" applyProtection="1">
      <alignment horizontal="center" vertical="center"/>
      <protection hidden="1"/>
    </xf>
    <xf numFmtId="0" fontId="5" fillId="0" borderId="30" xfId="0" applyNumberFormat="1" applyFont="1" applyBorder="1" applyAlignment="1" applyProtection="1">
      <alignment horizontal="center" vertical="center"/>
      <protection hidden="1"/>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5" fillId="0" borderId="0" xfId="0" applyFont="1" applyProtection="1">
      <alignment vertical="center"/>
      <protection hidden="1"/>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Alignment="1" applyProtection="1">
      <alignment vertical="center"/>
      <protection locked="0"/>
    </xf>
    <xf numFmtId="0" fontId="9" fillId="0" borderId="51" xfId="0" applyFont="1" applyBorder="1" applyAlignment="1">
      <alignment horizontal="center" vertical="center"/>
    </xf>
    <xf numFmtId="0" fontId="8" fillId="0" borderId="0" xfId="0" applyFont="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0" fillId="7" borderId="1" xfId="0" applyFont="1" applyFill="1" applyBorder="1" applyAlignment="1">
      <alignment horizontal="justify" vertical="center"/>
    </xf>
    <xf numFmtId="0" fontId="0" fillId="8" borderId="21" xfId="0" applyFont="1" applyFill="1" applyBorder="1" applyAlignment="1">
      <alignment horizontal="justify" vertical="center" indent="1"/>
    </xf>
    <xf numFmtId="0" fontId="0" fillId="8" borderId="1" xfId="0" applyFont="1"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5" fillId="0" borderId="0" xfId="0" applyFont="1" applyBorder="1" applyProtection="1">
      <alignment vertical="center"/>
      <protection hidden="1"/>
    </xf>
    <xf numFmtId="0" fontId="9" fillId="0" borderId="18" xfId="0" applyFont="1" applyBorder="1" applyAlignment="1" applyProtection="1">
      <alignment horizontal="center" vertical="center"/>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4" fillId="0" borderId="0" xfId="0" applyFont="1" applyBorder="1" applyAlignment="1">
      <alignment horizontal="center" vertical="center"/>
    </xf>
    <xf numFmtId="0" fontId="24" fillId="0" borderId="0" xfId="0" applyFont="1" applyBorder="1" applyAlignment="1" applyProtection="1">
      <alignment horizontal="left" vertical="center"/>
    </xf>
    <xf numFmtId="0" fontId="11" fillId="0" borderId="0" xfId="0" applyFont="1" applyAlignment="1" applyProtection="1">
      <alignment horizontal="right" vertical="center"/>
    </xf>
    <xf numFmtId="0" fontId="11" fillId="0" borderId="0" xfId="0" applyFont="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23" fillId="0" borderId="0" xfId="0" applyFont="1" applyAlignment="1" applyProtection="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Fill="1" applyBorder="1" applyAlignment="1">
      <alignment horizontal="left" vertical="center"/>
    </xf>
    <xf numFmtId="0" fontId="11" fillId="0" borderId="28" xfId="0" applyNumberFormat="1" applyFont="1" applyFill="1" applyBorder="1" applyAlignment="1">
      <alignment horizontal="left" vertical="center"/>
    </xf>
    <xf numFmtId="0" fontId="4" fillId="0" borderId="0" xfId="0" applyFont="1">
      <alignment vertical="center"/>
    </xf>
    <xf numFmtId="0" fontId="26" fillId="0" borderId="1" xfId="0" applyFont="1" applyBorder="1" applyAlignment="1" applyProtection="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5" fillId="0" borderId="0" xfId="0" applyFont="1" applyBorder="1" applyAlignment="1" applyProtection="1">
      <alignment vertical="center"/>
      <protection hidden="1"/>
    </xf>
    <xf numFmtId="0" fontId="18" fillId="0" borderId="0" xfId="0" applyFont="1" applyBorder="1" applyProtection="1">
      <alignment vertical="center"/>
      <protection hidden="1"/>
    </xf>
    <xf numFmtId="0" fontId="2" fillId="0" borderId="0" xfId="1" applyNumberFormat="1" applyFont="1" applyFill="1" applyBorder="1" applyAlignment="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 fillId="0" borderId="0" xfId="0" applyFont="1" applyBorder="1" applyAlignment="1" applyProtection="1">
      <alignment horizontal="center" vertical="center"/>
      <protection hidden="1"/>
    </xf>
    <xf numFmtId="0" fontId="4" fillId="0" borderId="0"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5" fillId="0" borderId="28" xfId="0" applyFont="1" applyBorder="1" applyAlignment="1" applyProtection="1">
      <alignment horizontal="left" vertical="center"/>
    </xf>
    <xf numFmtId="0" fontId="5" fillId="0" borderId="32" xfId="0" applyFont="1" applyBorder="1" applyAlignment="1" applyProtection="1">
      <alignment horizontal="left"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protection locked="0"/>
    </xf>
    <xf numFmtId="0" fontId="12" fillId="0" borderId="0" xfId="0" applyFont="1" applyAlignment="1" applyProtection="1">
      <alignment horizontal="right" vertical="center"/>
    </xf>
    <xf numFmtId="0" fontId="9" fillId="0" borderId="3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5" fillId="0" borderId="30" xfId="0" applyFont="1" applyBorder="1" applyAlignment="1" applyProtection="1">
      <alignment horizontal="left" vertical="center"/>
    </xf>
    <xf numFmtId="0" fontId="5" fillId="0" borderId="33" xfId="0" applyFont="1" applyBorder="1" applyAlignment="1" applyProtection="1">
      <alignment horizontal="left" vertical="center"/>
    </xf>
    <xf numFmtId="0" fontId="9" fillId="0" borderId="38"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6"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3" fillId="0" borderId="0" xfId="0" applyFont="1" applyBorder="1" applyAlignment="1">
      <alignment horizontal="center" vertical="center"/>
    </xf>
    <xf numFmtId="0" fontId="5" fillId="0" borderId="0" xfId="0" applyFont="1" applyBorder="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Border="1" applyAlignment="1" applyProtection="1">
      <alignment horizontal="center" vertical="center"/>
    </xf>
    <xf numFmtId="0" fontId="8" fillId="5" borderId="43" xfId="0" applyFont="1" applyFill="1" applyBorder="1" applyAlignment="1" applyProtection="1">
      <alignment horizontal="center" vertical="center"/>
    </xf>
    <xf numFmtId="0" fontId="9" fillId="0" borderId="39"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53"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17" xfId="0" applyFont="1" applyBorder="1" applyAlignment="1" applyProtection="1">
      <alignment horizontal="center" vertical="center"/>
    </xf>
    <xf numFmtId="0" fontId="5" fillId="0" borderId="34" xfId="0" applyFont="1" applyBorder="1" applyAlignment="1" applyProtection="1">
      <alignment horizontal="distributed" vertical="center" indent="2"/>
    </xf>
    <xf numFmtId="0" fontId="5" fillId="0" borderId="29" xfId="0" applyFont="1" applyBorder="1" applyAlignment="1" applyProtection="1">
      <alignment horizontal="distributed" vertical="center" indent="2"/>
    </xf>
    <xf numFmtId="0" fontId="5" fillId="0" borderId="35" xfId="0" applyFont="1" applyBorder="1" applyAlignment="1" applyProtection="1">
      <alignment horizontal="distributed" vertical="center" indent="2"/>
    </xf>
    <xf numFmtId="0" fontId="5" fillId="0" borderId="28" xfId="0" applyFont="1" applyBorder="1" applyAlignment="1" applyProtection="1">
      <alignment horizontal="distributed" vertical="center" indent="2"/>
    </xf>
    <xf numFmtId="0" fontId="5" fillId="0" borderId="3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9" xfId="0" applyFont="1" applyBorder="1" applyAlignment="1">
      <alignment horizontal="left"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52" xfId="0" applyFont="1" applyBorder="1" applyAlignment="1" applyProtection="1">
      <alignment horizontal="center" vertical="center"/>
    </xf>
    <xf numFmtId="0" fontId="8" fillId="6" borderId="43" xfId="0" applyFont="1" applyFill="1" applyBorder="1" applyAlignment="1" applyProtection="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38"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F$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542925</xdr:colOff>
          <xdr:row>8</xdr:row>
          <xdr:rowOff>28575</xdr:rowOff>
        </xdr:from>
        <xdr:to>
          <xdr:col>3</xdr:col>
          <xdr:colOff>1362075</xdr:colOff>
          <xdr:row>11</xdr:row>
          <xdr:rowOff>209550</xdr:rowOff>
        </xdr:to>
        <xdr:sp macro="" textlink="">
          <xdr:nvSpPr>
            <xdr:cNvPr id="1055" name="Option Button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171450</xdr:rowOff>
        </xdr:from>
        <xdr:to>
          <xdr:col>8</xdr:col>
          <xdr:colOff>390525</xdr:colOff>
          <xdr:row>13</xdr:row>
          <xdr:rowOff>76200</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38100</xdr:rowOff>
        </xdr:from>
        <xdr:to>
          <xdr:col>8</xdr:col>
          <xdr:colOff>314325</xdr:colOff>
          <xdr:row>14</xdr:row>
          <xdr:rowOff>9525</xdr:rowOff>
        </xdr:to>
        <xdr:sp macro="" textlink="">
          <xdr:nvSpPr>
            <xdr:cNvPr id="1059" name="Option Button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4"/>
  <sheetViews>
    <sheetView showGridLines="0" showRowColHeaders="0" tabSelected="1" view="pageBreakPreview" zoomScale="60" zoomScaleNormal="100" workbookViewId="0">
      <selection activeCell="C34" sqref="C34"/>
    </sheetView>
  </sheetViews>
  <sheetFormatPr defaultRowHeight="13.5" x14ac:dyDescent="0.15"/>
  <cols>
    <col min="1" max="1" width="3.125" customWidth="1"/>
    <col min="2" max="2" width="17.25" customWidth="1"/>
    <col min="3" max="3" width="26.875" customWidth="1"/>
    <col min="4" max="4" width="19.375" customWidth="1"/>
    <col min="5" max="8" width="9" hidden="1" customWidth="1"/>
    <col min="9" max="9" width="9" customWidth="1"/>
  </cols>
  <sheetData>
    <row r="1" spans="2:14" ht="28.5" customHeight="1" x14ac:dyDescent="0.15">
      <c r="B1" s="120" t="s">
        <v>0</v>
      </c>
      <c r="C1" s="120"/>
      <c r="D1" s="120"/>
      <c r="E1" s="87"/>
      <c r="F1" s="118">
        <v>1</v>
      </c>
      <c r="G1" s="117" t="s">
        <v>78</v>
      </c>
      <c r="H1" s="117" t="s">
        <v>49</v>
      </c>
      <c r="I1" s="87"/>
      <c r="J1" s="87"/>
      <c r="K1" s="87"/>
      <c r="M1" s="87"/>
      <c r="N1" s="87"/>
    </row>
    <row r="2" spans="2:14" ht="21.75" customHeight="1" x14ac:dyDescent="0.15">
      <c r="B2" s="121" t="str">
        <f>IF(F4=7,"","入力に不備があります。色のついている箇所に必要事項を入力をして申込ボタンを押して下さい。")</f>
        <v>入力に不備があります。色のついている箇所に必要事項を入力をして申込ボタンを押して下さい。</v>
      </c>
      <c r="C2" s="121"/>
      <c r="D2" s="121"/>
      <c r="G2" s="73" t="s">
        <v>1</v>
      </c>
      <c r="H2" s="73" t="s">
        <v>49</v>
      </c>
    </row>
    <row r="3" spans="2:14" ht="10.5" customHeight="1" thickBot="1" x14ac:dyDescent="0.2">
      <c r="B3" s="96"/>
      <c r="C3" s="96"/>
      <c r="D3" s="96"/>
      <c r="G3" s="73"/>
      <c r="H3" s="73"/>
    </row>
    <row r="4" spans="2:14" ht="21.75" customHeight="1" thickBot="1" x14ac:dyDescent="0.2">
      <c r="B4" s="83" t="s">
        <v>54</v>
      </c>
      <c r="C4" s="50" t="str">
        <f>VLOOKUP(F1,大会名２,4,FALSE)</f>
        <v>高校総体</v>
      </c>
      <c r="D4" s="43"/>
      <c r="F4">
        <f>SUM(F6:F22)</f>
        <v>1</v>
      </c>
      <c r="G4" s="1"/>
      <c r="H4" s="1"/>
    </row>
    <row r="5" spans="2:14" ht="5.25" customHeight="1" x14ac:dyDescent="0.15"/>
    <row r="6" spans="2:14" ht="21.75" customHeight="1" x14ac:dyDescent="0.15">
      <c r="B6" s="84" t="s">
        <v>2</v>
      </c>
      <c r="C6" s="3"/>
      <c r="F6">
        <f>IF(C6="",0,1)</f>
        <v>0</v>
      </c>
    </row>
    <row r="7" spans="2:14" ht="5.25" customHeight="1" x14ac:dyDescent="0.15">
      <c r="B7" s="4"/>
    </row>
    <row r="8" spans="2:14" ht="21.75" customHeight="1" x14ac:dyDescent="0.15">
      <c r="B8" s="84" t="s">
        <v>3</v>
      </c>
      <c r="C8" s="108"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15">
      <c r="B9" s="4"/>
      <c r="C9" s="107"/>
    </row>
    <row r="10" spans="2:14" ht="21.75" hidden="1" customHeight="1" x14ac:dyDescent="0.15">
      <c r="B10" s="2" t="s">
        <v>4</v>
      </c>
      <c r="C10" s="41" t="str">
        <f>H8</f>
        <v>↑学校番号を入力して下さい。</v>
      </c>
    </row>
    <row r="11" spans="2:14" ht="5.25" hidden="1" customHeight="1" x14ac:dyDescent="0.15">
      <c r="B11" s="4"/>
    </row>
    <row r="12" spans="2:14" ht="21.75" customHeight="1" x14ac:dyDescent="0.15">
      <c r="B12" s="84" t="s">
        <v>5</v>
      </c>
      <c r="C12" s="41"/>
      <c r="F12">
        <f>IF(C12="",0,1)</f>
        <v>0</v>
      </c>
    </row>
    <row r="13" spans="2:14" ht="5.25" customHeight="1" x14ac:dyDescent="0.15">
      <c r="B13" s="4"/>
    </row>
    <row r="14" spans="2:14" ht="21.75" customHeight="1" x14ac:dyDescent="0.15">
      <c r="B14" s="84" t="s">
        <v>6</v>
      </c>
      <c r="C14" s="41"/>
      <c r="F14">
        <f>IF(C14="",0,1)</f>
        <v>0</v>
      </c>
    </row>
    <row r="15" spans="2:14" ht="5.25" customHeight="1" x14ac:dyDescent="0.15">
      <c r="B15" s="4"/>
    </row>
    <row r="16" spans="2:14" ht="21.75" customHeight="1" x14ac:dyDescent="0.15">
      <c r="B16" s="84" t="s">
        <v>7</v>
      </c>
      <c r="C16" s="122"/>
      <c r="D16" s="123"/>
      <c r="F16">
        <f>IF(C16="",0,1)</f>
        <v>0</v>
      </c>
    </row>
    <row r="17" spans="2:6" ht="5.25" customHeight="1" x14ac:dyDescent="0.15">
      <c r="B17" s="4"/>
    </row>
    <row r="18" spans="2:6" ht="21.75" customHeight="1" x14ac:dyDescent="0.15">
      <c r="B18" s="84" t="s">
        <v>8</v>
      </c>
      <c r="C18" s="42"/>
      <c r="D18" s="5"/>
      <c r="F18">
        <f>IF(C18="",0,1)</f>
        <v>0</v>
      </c>
    </row>
    <row r="19" spans="2:6" ht="5.25" customHeight="1" x14ac:dyDescent="0.15">
      <c r="B19" s="4"/>
      <c r="D19" s="6"/>
    </row>
    <row r="20" spans="2:6" ht="21.75" customHeight="1" x14ac:dyDescent="0.15">
      <c r="B20" s="84" t="s">
        <v>9</v>
      </c>
      <c r="C20" s="42"/>
      <c r="D20" s="5"/>
      <c r="F20">
        <f>IF(C20="",0,1)</f>
        <v>0</v>
      </c>
    </row>
    <row r="21" spans="2:6" ht="5.25" customHeight="1" x14ac:dyDescent="0.15">
      <c r="B21" s="4"/>
      <c r="D21" s="6"/>
    </row>
    <row r="22" spans="2:6" ht="21.75" customHeight="1" x14ac:dyDescent="0.15">
      <c r="B22" s="84" t="s">
        <v>10</v>
      </c>
      <c r="C22" s="41"/>
      <c r="F22">
        <f>IF(C22="",0,1)</f>
        <v>0</v>
      </c>
    </row>
    <row r="23" spans="2:6" ht="5.25" customHeight="1" x14ac:dyDescent="0.15">
      <c r="B23" s="4"/>
    </row>
    <row r="24" spans="2:6" x14ac:dyDescent="0.15">
      <c r="B24" s="7"/>
    </row>
    <row r="25" spans="2:6" x14ac:dyDescent="0.15">
      <c r="B25" s="82" t="s">
        <v>11</v>
      </c>
      <c r="C25" s="119" t="s">
        <v>197</v>
      </c>
    </row>
    <row r="26" spans="2:6" x14ac:dyDescent="0.15">
      <c r="B26" s="82" t="s">
        <v>12</v>
      </c>
      <c r="C26" s="41" t="s">
        <v>198</v>
      </c>
    </row>
    <row r="27" spans="2:6" x14ac:dyDescent="0.15">
      <c r="B27" s="82" t="s">
        <v>13</v>
      </c>
      <c r="C27" s="41" t="s">
        <v>199</v>
      </c>
    </row>
    <row r="29" spans="2:6" x14ac:dyDescent="0.15">
      <c r="B29" t="s">
        <v>14</v>
      </c>
    </row>
    <row r="30" spans="2:6" x14ac:dyDescent="0.15">
      <c r="B30" t="s">
        <v>15</v>
      </c>
    </row>
    <row r="31" spans="2:6" x14ac:dyDescent="0.15">
      <c r="B31" t="s">
        <v>16</v>
      </c>
    </row>
    <row r="33" spans="2:3" x14ac:dyDescent="0.15">
      <c r="B33" t="s">
        <v>17</v>
      </c>
    </row>
    <row r="34" spans="2:3" x14ac:dyDescent="0.15">
      <c r="C34" s="85" t="s">
        <v>87</v>
      </c>
    </row>
  </sheetData>
  <sheetProtection algorithmName="SHA-512" hashValue="rPrmV0Fo9/WHJXGUHfUVO7El598rIFgDe9wt3+7Na4YlH+Q3Fd5oblgA9l2xooyym0EJ9KIJj1MdottUzNydIg==" saltValue="iyKDhc5b+XQe70mAWhDfNw=="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hyperlink ref="C34" r:id="rId1"/>
    <hyperlink ref="H1" location="処理用!A1" display="処理用!A1"/>
    <hyperlink ref="G2" location="処理用!A1" display="処理用!A1"/>
    <hyperlink ref="H2" location="処理用!A1" display="処理用!A1"/>
  </hyperlinks>
  <pageMargins left="0.78680555555555554" right="0.78680555555555554" top="0.98402777777777772" bottom="0.98402777777777772" header="0.51180555555555551" footer="0.51180555555555551"/>
  <pageSetup paperSize="9" scale="91"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542925</xdr:colOff>
                    <xdr:row>8</xdr:row>
                    <xdr:rowOff>28575</xdr:rowOff>
                  </from>
                  <to>
                    <xdr:col>3</xdr:col>
                    <xdr:colOff>1362075</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542925</xdr:colOff>
                    <xdr:row>11</xdr:row>
                    <xdr:rowOff>171450</xdr:rowOff>
                  </from>
                  <to>
                    <xdr:col>8</xdr:col>
                    <xdr:colOff>390525</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542925</xdr:colOff>
                    <xdr:row>13</xdr:row>
                    <xdr:rowOff>38100</xdr:rowOff>
                  </from>
                  <to>
                    <xdr:col>8</xdr:col>
                    <xdr:colOff>314325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2"/>
  <sheetViews>
    <sheetView showGridLines="0" showRowColHeaders="0" topLeftCell="E13" zoomScale="85" zoomScaleNormal="85" workbookViewId="0">
      <selection activeCell="H13" sqref="H13"/>
    </sheetView>
  </sheetViews>
  <sheetFormatPr defaultRowHeight="13.5" x14ac:dyDescent="0.15"/>
  <cols>
    <col min="1" max="4" width="9" style="8" hidden="1" customWidth="1"/>
    <col min="5" max="5" width="2.625" style="8" customWidth="1"/>
    <col min="6" max="6" width="5.125" style="8" customWidth="1"/>
    <col min="7" max="8" width="8.5" style="8" customWidth="1"/>
    <col min="9" max="9" width="19.125" style="8" customWidth="1"/>
    <col min="10" max="10" width="5.375" style="8" customWidth="1"/>
    <col min="11" max="13" width="9.125" style="9" customWidth="1"/>
    <col min="14" max="14" width="7.25" style="9" customWidth="1"/>
    <col min="15" max="15" width="2.375" style="8" customWidth="1"/>
    <col min="16" max="18" width="9" style="8" hidden="1" customWidth="1"/>
    <col min="19" max="19" width="23" style="8" hidden="1" customWidth="1"/>
    <col min="20" max="31" width="9" style="8" hidden="1" customWidth="1"/>
    <col min="32" max="32" width="9" style="8"/>
    <col min="33" max="33" width="14.625" style="8" customWidth="1"/>
    <col min="34" max="34" width="31.875" style="8" customWidth="1"/>
    <col min="35" max="35" width="19.625" style="8" customWidth="1"/>
    <col min="36" max="16384" width="9" style="8"/>
  </cols>
  <sheetData>
    <row r="1" spans="1:35" ht="18.75" x14ac:dyDescent="0.15">
      <c r="E1" s="143" t="str">
        <f>VLOOKUP(Menu!F1,大会名,2,FALSE)</f>
        <v>６　総体卓球競技参加申込書</v>
      </c>
      <c r="F1" s="143"/>
      <c r="G1" s="143"/>
      <c r="H1" s="143"/>
      <c r="I1" s="143"/>
      <c r="J1" s="143"/>
      <c r="K1" s="143"/>
      <c r="L1" s="143"/>
      <c r="M1" s="143"/>
      <c r="N1" s="143"/>
      <c r="O1" s="143"/>
      <c r="P1" s="10"/>
      <c r="Q1" s="10"/>
      <c r="R1" s="10"/>
      <c r="S1" s="10"/>
      <c r="T1" s="10"/>
      <c r="U1" s="10"/>
    </row>
    <row r="2" spans="1:35" ht="6" customHeight="1" thickBot="1" x14ac:dyDescent="0.2">
      <c r="E2" s="78"/>
      <c r="F2" s="78"/>
      <c r="G2" s="78"/>
      <c r="H2" s="78"/>
      <c r="I2" s="78"/>
      <c r="J2" s="78"/>
      <c r="K2" s="78"/>
      <c r="L2" s="78"/>
      <c r="M2" s="78"/>
      <c r="N2" s="78"/>
      <c r="O2" s="78"/>
      <c r="P2" s="10"/>
      <c r="Q2" s="10"/>
      <c r="R2" s="10"/>
      <c r="S2" s="10"/>
      <c r="T2" s="10"/>
      <c r="U2" s="10"/>
    </row>
    <row r="3" spans="1:35" ht="30" customHeight="1" thickBot="1" x14ac:dyDescent="0.2">
      <c r="E3" s="76"/>
      <c r="F3" s="144" t="s">
        <v>19</v>
      </c>
      <c r="G3" s="144"/>
      <c r="H3" s="75"/>
      <c r="I3" s="97" t="str">
        <f>IF(G38="平成　２８　年　○○　月　○○　日","※申込日を入力して下さい。","")</f>
        <v/>
      </c>
      <c r="J3" s="76"/>
      <c r="K3" s="77"/>
      <c r="L3" s="77"/>
      <c r="M3" s="77"/>
      <c r="N3" s="77"/>
      <c r="O3" s="76"/>
    </row>
    <row r="4" spans="1:35" ht="12" customHeight="1" thickBot="1" x14ac:dyDescent="0.2">
      <c r="E4" s="76"/>
      <c r="F4" s="77"/>
      <c r="G4" s="77"/>
      <c r="H4" s="77"/>
      <c r="I4" s="77"/>
      <c r="J4" s="76"/>
      <c r="K4" s="77"/>
      <c r="L4" s="77"/>
      <c r="M4" s="77"/>
      <c r="N4" s="77"/>
      <c r="O4" s="76"/>
    </row>
    <row r="5" spans="1:35" ht="16.5" customHeight="1" x14ac:dyDescent="0.15">
      <c r="E5" s="76"/>
      <c r="F5" s="76"/>
      <c r="G5" s="151" t="s">
        <v>80</v>
      </c>
      <c r="H5" s="152"/>
      <c r="I5" s="159" t="str">
        <f>IF(Menu!C8="","設定メニューから学校名を入力",Menu!G8)</f>
        <v>↑学校番号を入力して下さい。</v>
      </c>
      <c r="J5" s="159"/>
      <c r="K5" s="159"/>
      <c r="L5" s="140" t="str">
        <f>IF(Menu!C6="","設定の学校番号を入力","学校番号: "&amp;Menu!C6)</f>
        <v>設定の学校番号を入力</v>
      </c>
      <c r="M5" s="141"/>
      <c r="N5" s="77"/>
      <c r="O5" s="76"/>
    </row>
    <row r="6" spans="1:35" ht="16.5" customHeight="1" x14ac:dyDescent="0.15">
      <c r="E6" s="76"/>
      <c r="F6" s="76"/>
      <c r="G6" s="153" t="s">
        <v>81</v>
      </c>
      <c r="H6" s="154"/>
      <c r="I6" s="124" t="str">
        <f>IF(Menu!C16="","設定メニューの所在地名を入力して下さい",Menu!C14&amp;"  "&amp;Menu!C16)</f>
        <v>設定メニューの所在地名を入力して下さい</v>
      </c>
      <c r="J6" s="124"/>
      <c r="K6" s="124"/>
      <c r="L6" s="124"/>
      <c r="M6" s="125"/>
      <c r="N6" s="77"/>
      <c r="O6" s="76"/>
    </row>
    <row r="7" spans="1:35" ht="16.5" customHeight="1" x14ac:dyDescent="0.15">
      <c r="E7" s="76"/>
      <c r="F7" s="76"/>
      <c r="G7" s="155" t="s">
        <v>82</v>
      </c>
      <c r="H7" s="156"/>
      <c r="I7" s="124" t="str">
        <f>IF(Menu!C18="","設定メニューから電話・Ｆａｘ番号を入力して下さい","TEL : "&amp;Menu!C18&amp;"/ FAX : "&amp;Menu!C20)</f>
        <v>設定メニューから電話・Ｆａｘ番号を入力して下さい</v>
      </c>
      <c r="J7" s="124"/>
      <c r="K7" s="124"/>
      <c r="L7" s="124"/>
      <c r="M7" s="125"/>
      <c r="N7" s="77"/>
      <c r="O7" s="76"/>
      <c r="W7" s="8" t="s">
        <v>19</v>
      </c>
    </row>
    <row r="8" spans="1:35" ht="16.5" customHeight="1" thickBot="1" x14ac:dyDescent="0.2">
      <c r="E8" s="76"/>
      <c r="F8" s="76"/>
      <c r="G8" s="157" t="s">
        <v>83</v>
      </c>
      <c r="H8" s="158"/>
      <c r="I8" s="131" t="str">
        <f>IF(Menu!C22="","設定メニューの引率者名を入力して下さい",Menu!C22)</f>
        <v>設定メニューの引率者名を入力して下さい</v>
      </c>
      <c r="J8" s="131"/>
      <c r="K8" s="131"/>
      <c r="L8" s="131"/>
      <c r="M8" s="132"/>
      <c r="N8" s="77"/>
      <c r="O8" s="76"/>
    </row>
    <row r="9" spans="1:35" ht="14.25" thickBot="1" x14ac:dyDescent="0.2">
      <c r="E9" s="76"/>
      <c r="F9" s="76"/>
      <c r="G9" s="76"/>
      <c r="H9" s="76"/>
      <c r="I9" s="76"/>
      <c r="J9" s="76"/>
      <c r="K9" s="77"/>
      <c r="L9" s="77"/>
      <c r="M9" s="77"/>
      <c r="N9" s="77"/>
      <c r="O9" s="76"/>
      <c r="W9" s="8" t="s">
        <v>20</v>
      </c>
    </row>
    <row r="10" spans="1:35" ht="12.75" customHeight="1" x14ac:dyDescent="0.15">
      <c r="E10" s="76"/>
      <c r="F10" s="148" t="s">
        <v>21</v>
      </c>
      <c r="G10" s="160" t="s">
        <v>22</v>
      </c>
      <c r="H10" s="161"/>
      <c r="I10" s="133" t="s">
        <v>23</v>
      </c>
      <c r="J10" s="129" t="s">
        <v>24</v>
      </c>
      <c r="K10" s="129" t="s">
        <v>25</v>
      </c>
      <c r="L10" s="129" t="s">
        <v>26</v>
      </c>
      <c r="M10" s="129" t="s">
        <v>27</v>
      </c>
      <c r="N10" s="145" t="s">
        <v>28</v>
      </c>
      <c r="O10" s="76"/>
      <c r="Y10" s="8" t="str">
        <f>IF(COUNTIF(K14:K28,"○")=8,"","○")</f>
        <v>○</v>
      </c>
      <c r="Z10" s="8">
        <f>IF(COUNTIF($M$14:$M$28,1)&gt;=1,"",1)</f>
        <v>1</v>
      </c>
      <c r="AA10" s="8">
        <f>IF(COUNTIF($L$14:$L$28,1)&gt;=2,"",1)</f>
        <v>1</v>
      </c>
    </row>
    <row r="11" spans="1:35" ht="12.75" customHeight="1" x14ac:dyDescent="0.15">
      <c r="E11" s="76"/>
      <c r="F11" s="149"/>
      <c r="G11" s="162"/>
      <c r="H11" s="163"/>
      <c r="I11" s="134"/>
      <c r="J11" s="136"/>
      <c r="K11" s="130"/>
      <c r="L11" s="130"/>
      <c r="M11" s="130"/>
      <c r="N11" s="146"/>
      <c r="O11" s="76"/>
      <c r="Z11" s="8">
        <f>IF(COUNTIF($M$14:$M$28,2)&gt;=1,"",2)</f>
        <v>2</v>
      </c>
      <c r="AA11" s="8">
        <f>IF(COUNTIF($L$14:$L$28,2)&gt;=2,"",2)</f>
        <v>2</v>
      </c>
    </row>
    <row r="12" spans="1:35" ht="12.75" customHeight="1" thickBot="1" x14ac:dyDescent="0.2">
      <c r="E12" s="76"/>
      <c r="F12" s="150"/>
      <c r="G12" s="79" t="s">
        <v>52</v>
      </c>
      <c r="H12" s="80" t="s">
        <v>53</v>
      </c>
      <c r="I12" s="135"/>
      <c r="J12" s="137"/>
      <c r="K12" s="81" t="str">
        <f>VLOOKUP(E1,$G$45:$L$47,4,FALSE)</f>
        <v>（８名）</v>
      </c>
      <c r="L12" s="81" t="str">
        <f>VLOOKUP(E1,$G$45:$L$47,5,FALSE)</f>
        <v>（４組）</v>
      </c>
      <c r="M12" s="89" t="str">
        <f>VLOOKUP(E1,$G$45:$L$47,6,FALSE)</f>
        <v>（８名）</v>
      </c>
      <c r="N12" s="147"/>
      <c r="O12" s="76"/>
      <c r="Z12" s="8">
        <f>IF(COUNTIF($M$14:$M$28,3)&gt;=1,"",3)</f>
        <v>3</v>
      </c>
      <c r="AA12" s="8">
        <f>IF(COUNTIF($L$14:$L$28,3)&gt;=2,"",3)</f>
        <v>3</v>
      </c>
    </row>
    <row r="13" spans="1:35" ht="30.75" customHeight="1" thickTop="1" thickBot="1" x14ac:dyDescent="0.2">
      <c r="F13" s="11" t="s">
        <v>29</v>
      </c>
      <c r="G13" s="68"/>
      <c r="H13" s="69"/>
      <c r="I13" s="12" t="s">
        <v>30</v>
      </c>
      <c r="J13" s="13"/>
      <c r="K13" s="13"/>
      <c r="L13" s="13"/>
      <c r="M13" s="13"/>
      <c r="N13" s="14"/>
      <c r="Q13" s="8" t="str">
        <f>SUBSTITUTE(SUBSTITUTE(G13,"　","")," ","")</f>
        <v/>
      </c>
      <c r="R13" s="8" t="str">
        <f>SUBSTITUTE(SUBSTITUTE(H13,"　","")," ","")</f>
        <v/>
      </c>
      <c r="S13" s="8" t="str">
        <f>IF(Q13="","",IF(LEN(Q13)=1,Q13&amp;"　　",IF(LEN(Q13)=2,LEFT(Q13,1)&amp;"　"&amp;RIGHT(Q13,1),Q13)))&amp;"　"&amp;IF(R13="","",IF(LEN(R13)=1,"　　"&amp;R13,IF(LEN(R13)=2,LEFT(R13,1)&amp;"　"&amp;RIGHT(R13,1),R13)))</f>
        <v>　</v>
      </c>
      <c r="V13" s="8">
        <f>COUNT(V14:V29)</f>
        <v>0</v>
      </c>
      <c r="Z13" s="8">
        <f>IF(COUNTIF($M$14:$M$28,4)&gt;=1,"",4)</f>
        <v>4</v>
      </c>
      <c r="AA13" s="8">
        <f>IF(COUNTIF($L$14:$L$28,4)&gt;=2,"",4)</f>
        <v>4</v>
      </c>
      <c r="AG13" s="138" t="str">
        <f>MID(E1,3,30)</f>
        <v>総体卓球競技参加申込書</v>
      </c>
      <c r="AH13" s="138"/>
    </row>
    <row r="14" spans="1:35" ht="26.25" customHeight="1" thickTop="1" x14ac:dyDescent="0.15">
      <c r="A14" s="8" t="str">
        <f>IF(V14="","",RANK(V14,$V$14:$V$29,1))</f>
        <v/>
      </c>
      <c r="B14" s="8" t="str">
        <f>IF(W14="","",RANK(W14,$W$14:$W$29,1))</f>
        <v/>
      </c>
      <c r="C14" s="8" t="str">
        <f>IF(M14="","",M14)</f>
        <v/>
      </c>
      <c r="F14" s="15">
        <v>1</v>
      </c>
      <c r="G14" s="44"/>
      <c r="H14" s="45"/>
      <c r="I14" s="16"/>
      <c r="J14" s="17"/>
      <c r="K14" s="17"/>
      <c r="L14" s="17"/>
      <c r="M14" s="17"/>
      <c r="N14" s="18"/>
      <c r="Q14" s="8" t="str">
        <f>SUBSTITUTE(SUBSTITUTE(G14,"　","")," ","")</f>
        <v/>
      </c>
      <c r="R14" s="8" t="str">
        <f>SUBSTITUTE(SUBSTITUTE(H14,"　","")," ","")</f>
        <v/>
      </c>
      <c r="S14" s="8" t="str">
        <f>IF(Q14="","",IF(LEN(Q14)=1,Q14&amp;"　　",IF(LEN(Q14)=2,LEFT(Q14,1)&amp;"　"&amp;RIGHT(Q14,1),Q14)))&amp;"　"&amp;IF(R14="","",IF(LEN(R14)=1,"　　"&amp;R14,IF(LEN(R14)=2,LEFT(R14,1)&amp;"　"&amp;RIGHT(R14,1),R14)))</f>
        <v>　</v>
      </c>
      <c r="T14" s="8">
        <v>1</v>
      </c>
      <c r="U14" s="8">
        <f>IF(COUNT(L14:M14)+COUNTIF(K14,"○")&gt;0,1,0)</f>
        <v>0</v>
      </c>
      <c r="V14" s="8" t="str">
        <f t="shared" ref="V14:V29" si="0">IF(K14="○",F14,"")</f>
        <v/>
      </c>
      <c r="W14" s="8" t="str">
        <f>IF(L14="","",L14+F14/100)</f>
        <v/>
      </c>
      <c r="Z14" s="8">
        <f>IF(COUNTIF($M$14:$M$28,5)&gt;=1,"",5)</f>
        <v>5</v>
      </c>
      <c r="AA14" s="8" t="str">
        <f>IF($E$1="６　一年生卓球競技参加申込書",IF(COUNTIF($L$14:$L$29,5)&gt;=2,"",5),"")</f>
        <v/>
      </c>
      <c r="AB14" s="8" t="s">
        <v>31</v>
      </c>
      <c r="AG14" s="19" t="s">
        <v>32</v>
      </c>
      <c r="AH14" s="139" t="str">
        <f>IF(V13&gt;0,"参加します( "&amp;V13&amp;" 名)","参加しません")</f>
        <v>参加しません</v>
      </c>
      <c r="AI14" s="139"/>
    </row>
    <row r="15" spans="1:35" ht="26.25" customHeight="1" x14ac:dyDescent="0.15">
      <c r="A15" s="8" t="str">
        <f t="shared" ref="A15:A29" si="1">IF(V15="","",RANK(V15,$V$14:$V$29,1))</f>
        <v/>
      </c>
      <c r="B15" s="8" t="str">
        <f t="shared" ref="B15:B29" si="2">IF(W15="","",RANK(W15,$W$14:$W$29,1))</f>
        <v/>
      </c>
      <c r="C15" s="8" t="str">
        <f t="shared" ref="C15:C29" si="3">IF(M15="","",M15)</f>
        <v/>
      </c>
      <c r="F15" s="20">
        <v>2</v>
      </c>
      <c r="G15" s="46"/>
      <c r="H15" s="47"/>
      <c r="I15" s="21"/>
      <c r="J15" s="22"/>
      <c r="K15" s="22"/>
      <c r="L15" s="22"/>
      <c r="M15" s="22"/>
      <c r="N15" s="23"/>
      <c r="Q15" s="8" t="str">
        <f t="shared" ref="Q15:R29" si="4">SUBSTITUTE(SUBSTITUTE(G15,"　","")," ","")</f>
        <v/>
      </c>
      <c r="R15" s="8" t="str">
        <f t="shared" si="4"/>
        <v/>
      </c>
      <c r="S15" s="8" t="str">
        <f t="shared" ref="S15:S29" si="5">IF(Q15="","",IF(LEN(Q15)=1,Q15&amp;"　　",IF(LEN(Q15)=2,LEFT(Q15,1)&amp;"　"&amp;RIGHT(Q15,1),Q15)))&amp;"　"&amp;IF(R15="","",IF(LEN(R15)=1,"　　"&amp;R15,IF(LEN(R15)=2,LEFT(R15,1)&amp;"　"&amp;RIGHT(R15,1),R15)))</f>
        <v>　</v>
      </c>
      <c r="T15" s="8">
        <v>2</v>
      </c>
      <c r="U15" s="8">
        <f t="shared" ref="U15:U29" si="6">IF(COUNT(L15:M15)+COUNTIF(K15,"○")&gt;0,1,0)</f>
        <v>0</v>
      </c>
      <c r="V15" s="8" t="str">
        <f t="shared" si="0"/>
        <v/>
      </c>
      <c r="W15" s="8" t="str">
        <f t="shared" ref="W15:W29" si="7">IF(L15="","",L15+F15/100)</f>
        <v/>
      </c>
      <c r="Z15" s="8">
        <f>IF(COUNTIF($M$14:$M$28,6)&gt;=1,"",6)</f>
        <v>6</v>
      </c>
      <c r="AA15" s="8" t="str">
        <f>IF($E$1="６　一年生卓球競技参加申込書",IF(COUNTIF($L$14:$L$29,6)&gt;=2,"",6),"")</f>
        <v/>
      </c>
      <c r="AB15" s="8" t="s">
        <v>33</v>
      </c>
      <c r="AG15" s="19" t="s">
        <v>26</v>
      </c>
      <c r="AH15" s="24" t="str">
        <f>IF(W32=W33,W33&amp;" 組","申し込みに不備が有ります")</f>
        <v>0 組</v>
      </c>
      <c r="AI15" s="24"/>
    </row>
    <row r="16" spans="1:35" ht="26.25" customHeight="1" x14ac:dyDescent="0.15">
      <c r="A16" s="8" t="str">
        <f t="shared" si="1"/>
        <v/>
      </c>
      <c r="B16" s="8" t="str">
        <f t="shared" si="2"/>
        <v/>
      </c>
      <c r="C16" s="8" t="str">
        <f t="shared" si="3"/>
        <v/>
      </c>
      <c r="F16" s="20">
        <v>3</v>
      </c>
      <c r="G16" s="46"/>
      <c r="H16" s="47"/>
      <c r="I16" s="21"/>
      <c r="J16" s="22"/>
      <c r="K16" s="22"/>
      <c r="L16" s="22"/>
      <c r="M16" s="22"/>
      <c r="N16" s="23"/>
      <c r="Q16" s="8" t="str">
        <f t="shared" si="4"/>
        <v/>
      </c>
      <c r="R16" s="8" t="str">
        <f t="shared" si="4"/>
        <v/>
      </c>
      <c r="S16" s="8" t="str">
        <f t="shared" si="5"/>
        <v>　</v>
      </c>
      <c r="T16" s="8">
        <v>3</v>
      </c>
      <c r="U16" s="8">
        <f t="shared" si="6"/>
        <v>0</v>
      </c>
      <c r="V16" s="8" t="str">
        <f t="shared" si="0"/>
        <v/>
      </c>
      <c r="W16" s="8" t="str">
        <f t="shared" si="7"/>
        <v/>
      </c>
      <c r="Z16" s="8">
        <f>IF(COUNTIF($M$14:$M$28,7)&gt;=1,"",7)</f>
        <v>7</v>
      </c>
      <c r="AA16" s="8" t="str">
        <f>IF($E$1="６　一年生卓球競技参加申込書",IF(COUNTIF($L$14:$L$29,7)&gt;=2,"",7),"")</f>
        <v/>
      </c>
      <c r="AG16" s="19" t="s">
        <v>34</v>
      </c>
      <c r="AH16" s="24" t="str">
        <f>IF(COUNT(M14:M28)=MAX(M14:M28),MAX(M14:M28)&amp;" 人","申し込みに不備が有ります")</f>
        <v>0 人</v>
      </c>
      <c r="AI16" s="24"/>
    </row>
    <row r="17" spans="1:27" ht="26.25" customHeight="1" x14ac:dyDescent="0.15">
      <c r="A17" s="8" t="str">
        <f t="shared" si="1"/>
        <v/>
      </c>
      <c r="B17" s="8" t="str">
        <f t="shared" si="2"/>
        <v/>
      </c>
      <c r="C17" s="8" t="str">
        <f t="shared" si="3"/>
        <v/>
      </c>
      <c r="F17" s="20">
        <v>4</v>
      </c>
      <c r="G17" s="46"/>
      <c r="H17" s="47"/>
      <c r="I17" s="21"/>
      <c r="J17" s="22"/>
      <c r="K17" s="22"/>
      <c r="L17" s="22"/>
      <c r="M17" s="22"/>
      <c r="N17" s="23"/>
      <c r="Q17" s="8" t="str">
        <f t="shared" si="4"/>
        <v/>
      </c>
      <c r="R17" s="8" t="str">
        <f t="shared" si="4"/>
        <v/>
      </c>
      <c r="S17" s="8" t="str">
        <f t="shared" si="5"/>
        <v>　</v>
      </c>
      <c r="U17" s="8">
        <f t="shared" si="6"/>
        <v>0</v>
      </c>
      <c r="V17" s="8" t="str">
        <f t="shared" si="0"/>
        <v/>
      </c>
      <c r="W17" s="8" t="str">
        <f t="shared" si="7"/>
        <v/>
      </c>
      <c r="Z17" s="8">
        <f>IF(COUNTIF($M$14:$M$28,8)&gt;=1,"",8)</f>
        <v>8</v>
      </c>
      <c r="AA17" s="8" t="str">
        <f>IF($E$1="６　一年生卓球競技参加申込書",IF(COUNTIF($L$14:$L$29,8)&gt;=2,"",8),"")</f>
        <v/>
      </c>
    </row>
    <row r="18" spans="1:27" ht="26.25" customHeight="1" x14ac:dyDescent="0.15">
      <c r="A18" s="8" t="str">
        <f t="shared" si="1"/>
        <v/>
      </c>
      <c r="B18" s="8" t="str">
        <f t="shared" si="2"/>
        <v/>
      </c>
      <c r="C18" s="8" t="str">
        <f t="shared" si="3"/>
        <v/>
      </c>
      <c r="F18" s="20">
        <v>5</v>
      </c>
      <c r="G18" s="46"/>
      <c r="H18" s="47"/>
      <c r="I18" s="21"/>
      <c r="J18" s="22"/>
      <c r="K18" s="22"/>
      <c r="L18" s="22"/>
      <c r="M18" s="22"/>
      <c r="N18" s="23"/>
      <c r="Q18" s="8" t="str">
        <f t="shared" si="4"/>
        <v/>
      </c>
      <c r="R18" s="8" t="str">
        <f t="shared" si="4"/>
        <v/>
      </c>
      <c r="S18" s="8" t="str">
        <f t="shared" si="5"/>
        <v>　</v>
      </c>
      <c r="U18" s="8">
        <f t="shared" si="6"/>
        <v>0</v>
      </c>
      <c r="V18" s="8" t="str">
        <f t="shared" si="0"/>
        <v/>
      </c>
      <c r="W18" s="8" t="str">
        <f t="shared" si="7"/>
        <v/>
      </c>
      <c r="Z18" s="8" t="str">
        <f>IF($E$1="６　一年生卓球競技参加申込書",IF(COUNTIF($M$14:$M$29,9)&gt;=1,"",9),"")</f>
        <v/>
      </c>
    </row>
    <row r="19" spans="1:27" ht="26.25" customHeight="1" x14ac:dyDescent="0.15">
      <c r="A19" s="8" t="str">
        <f t="shared" si="1"/>
        <v/>
      </c>
      <c r="B19" s="8" t="str">
        <f t="shared" si="2"/>
        <v/>
      </c>
      <c r="C19" s="8" t="str">
        <f t="shared" si="3"/>
        <v/>
      </c>
      <c r="F19" s="20">
        <v>6</v>
      </c>
      <c r="G19" s="46"/>
      <c r="H19" s="47"/>
      <c r="I19" s="21"/>
      <c r="J19" s="22"/>
      <c r="K19" s="22"/>
      <c r="L19" s="22"/>
      <c r="M19" s="22"/>
      <c r="N19" s="23"/>
      <c r="Q19" s="8" t="str">
        <f t="shared" si="4"/>
        <v/>
      </c>
      <c r="R19" s="8" t="str">
        <f t="shared" si="4"/>
        <v/>
      </c>
      <c r="S19" s="8" t="str">
        <f t="shared" si="5"/>
        <v>　</v>
      </c>
      <c r="U19" s="8">
        <f t="shared" si="6"/>
        <v>0</v>
      </c>
      <c r="V19" s="8" t="str">
        <f t="shared" si="0"/>
        <v/>
      </c>
      <c r="W19" s="8" t="str">
        <f t="shared" si="7"/>
        <v/>
      </c>
      <c r="Z19" s="8" t="str">
        <f>IF($E$1="６　一年生卓球競技参加申込書",IF(COUNTIF($M$14:$M$29,10)&gt;=1,"",10),"")</f>
        <v/>
      </c>
    </row>
    <row r="20" spans="1:27" ht="26.25" customHeight="1" x14ac:dyDescent="0.15">
      <c r="A20" s="8" t="str">
        <f t="shared" si="1"/>
        <v/>
      </c>
      <c r="B20" s="8" t="str">
        <f t="shared" si="2"/>
        <v/>
      </c>
      <c r="C20" s="8" t="str">
        <f t="shared" si="3"/>
        <v/>
      </c>
      <c r="F20" s="20">
        <v>7</v>
      </c>
      <c r="G20" s="46"/>
      <c r="H20" s="47"/>
      <c r="I20" s="21"/>
      <c r="J20" s="22"/>
      <c r="K20" s="22"/>
      <c r="L20" s="22"/>
      <c r="M20" s="22"/>
      <c r="N20" s="23"/>
      <c r="Q20" s="8" t="str">
        <f t="shared" si="4"/>
        <v/>
      </c>
      <c r="R20" s="8" t="str">
        <f t="shared" si="4"/>
        <v/>
      </c>
      <c r="S20" s="8" t="str">
        <f t="shared" si="5"/>
        <v>　</v>
      </c>
      <c r="U20" s="8">
        <f t="shared" si="6"/>
        <v>0</v>
      </c>
      <c r="V20" s="8" t="str">
        <f t="shared" si="0"/>
        <v/>
      </c>
      <c r="W20" s="8" t="str">
        <f t="shared" si="7"/>
        <v/>
      </c>
      <c r="Z20" s="8" t="str">
        <f>IF($E$1="６　一年生卓球競技参加申込書",IF(COUNTIF($M$14:$M$29,11)&gt;=1,"",11),"")</f>
        <v/>
      </c>
    </row>
    <row r="21" spans="1:27" ht="26.25" customHeight="1" x14ac:dyDescent="0.15">
      <c r="A21" s="8" t="str">
        <f t="shared" si="1"/>
        <v/>
      </c>
      <c r="B21" s="8" t="str">
        <f t="shared" si="2"/>
        <v/>
      </c>
      <c r="C21" s="8" t="str">
        <f t="shared" si="3"/>
        <v/>
      </c>
      <c r="F21" s="20">
        <v>8</v>
      </c>
      <c r="G21" s="46"/>
      <c r="H21" s="47"/>
      <c r="I21" s="21"/>
      <c r="J21" s="22"/>
      <c r="K21" s="22"/>
      <c r="L21" s="22"/>
      <c r="M21" s="22"/>
      <c r="N21" s="23"/>
      <c r="Q21" s="8" t="str">
        <f t="shared" si="4"/>
        <v/>
      </c>
      <c r="R21" s="8" t="str">
        <f t="shared" si="4"/>
        <v/>
      </c>
      <c r="S21" s="8" t="str">
        <f t="shared" si="5"/>
        <v>　</v>
      </c>
      <c r="U21" s="8">
        <f t="shared" si="6"/>
        <v>0</v>
      </c>
      <c r="V21" s="8" t="str">
        <f t="shared" si="0"/>
        <v/>
      </c>
      <c r="W21" s="8" t="str">
        <f t="shared" si="7"/>
        <v/>
      </c>
      <c r="Z21" s="8" t="str">
        <f>IF($E$1="６　一年生卓球競技参加申込書",IF(COUNTIF($M$14:$M$29,12)&gt;=1,"",12),"")</f>
        <v/>
      </c>
    </row>
    <row r="22" spans="1:27" ht="26.25" customHeight="1" x14ac:dyDescent="0.15">
      <c r="A22" s="8" t="str">
        <f t="shared" si="1"/>
        <v/>
      </c>
      <c r="B22" s="8" t="str">
        <f t="shared" si="2"/>
        <v/>
      </c>
      <c r="C22" s="8" t="str">
        <f t="shared" si="3"/>
        <v/>
      </c>
      <c r="F22" s="20">
        <v>9</v>
      </c>
      <c r="G22" s="46"/>
      <c r="H22" s="47"/>
      <c r="I22" s="21"/>
      <c r="J22" s="22"/>
      <c r="K22" s="22"/>
      <c r="L22" s="22"/>
      <c r="M22" s="22"/>
      <c r="N22" s="23"/>
      <c r="Q22" s="8" t="str">
        <f t="shared" si="4"/>
        <v/>
      </c>
      <c r="R22" s="8" t="str">
        <f t="shared" si="4"/>
        <v/>
      </c>
      <c r="S22" s="8" t="str">
        <f t="shared" si="5"/>
        <v>　</v>
      </c>
      <c r="U22" s="8">
        <f t="shared" si="6"/>
        <v>0</v>
      </c>
      <c r="V22" s="8" t="str">
        <f t="shared" si="0"/>
        <v/>
      </c>
      <c r="W22" s="8" t="str">
        <f t="shared" si="7"/>
        <v/>
      </c>
      <c r="Z22" s="8" t="str">
        <f>IF($E$1="６　一年生卓球競技参加申込書",IF(COUNTIF($M$14:$M$29,13)&gt;=1,"",13),"")</f>
        <v/>
      </c>
    </row>
    <row r="23" spans="1:27" ht="26.25" customHeight="1" x14ac:dyDescent="0.15">
      <c r="A23" s="8" t="str">
        <f t="shared" si="1"/>
        <v/>
      </c>
      <c r="B23" s="8" t="str">
        <f t="shared" si="2"/>
        <v/>
      </c>
      <c r="C23" s="8" t="str">
        <f t="shared" si="3"/>
        <v/>
      </c>
      <c r="F23" s="20">
        <v>10</v>
      </c>
      <c r="G23" s="46"/>
      <c r="H23" s="47"/>
      <c r="I23" s="21"/>
      <c r="J23" s="22"/>
      <c r="K23" s="22"/>
      <c r="L23" s="22"/>
      <c r="M23" s="22"/>
      <c r="N23" s="23"/>
      <c r="Q23" s="8" t="str">
        <f t="shared" si="4"/>
        <v/>
      </c>
      <c r="R23" s="8" t="str">
        <f t="shared" si="4"/>
        <v/>
      </c>
      <c r="S23" s="8" t="str">
        <f t="shared" si="5"/>
        <v>　</v>
      </c>
      <c r="U23" s="8">
        <f t="shared" si="6"/>
        <v>0</v>
      </c>
      <c r="V23" s="8" t="str">
        <f t="shared" si="0"/>
        <v/>
      </c>
      <c r="W23" s="8" t="str">
        <f t="shared" si="7"/>
        <v/>
      </c>
      <c r="Z23" s="8" t="str">
        <f>IF($E$1="６　一年生卓球競技参加申込書",IF(COUNTIF($M$14:$M$29,14)&gt;=1,"",14),"")</f>
        <v/>
      </c>
    </row>
    <row r="24" spans="1:27" ht="26.25" customHeight="1" x14ac:dyDescent="0.15">
      <c r="A24" s="8" t="str">
        <f t="shared" si="1"/>
        <v/>
      </c>
      <c r="B24" s="8" t="str">
        <f t="shared" si="2"/>
        <v/>
      </c>
      <c r="C24" s="8" t="str">
        <f t="shared" si="3"/>
        <v/>
      </c>
      <c r="F24" s="20">
        <v>11</v>
      </c>
      <c r="G24" s="46"/>
      <c r="H24" s="47"/>
      <c r="I24" s="21"/>
      <c r="J24" s="22"/>
      <c r="K24" s="22"/>
      <c r="L24" s="22"/>
      <c r="M24" s="22"/>
      <c r="N24" s="23"/>
      <c r="Q24" s="8" t="str">
        <f t="shared" si="4"/>
        <v/>
      </c>
      <c r="R24" s="8" t="str">
        <f t="shared" si="4"/>
        <v/>
      </c>
      <c r="S24" s="8" t="str">
        <f t="shared" si="5"/>
        <v>　</v>
      </c>
      <c r="U24" s="8">
        <f t="shared" si="6"/>
        <v>0</v>
      </c>
      <c r="V24" s="8" t="str">
        <f t="shared" si="0"/>
        <v/>
      </c>
      <c r="W24" s="8" t="str">
        <f t="shared" si="7"/>
        <v/>
      </c>
      <c r="Z24" s="8" t="str">
        <f>IF($E$1="６　一年生卓球競技参加申込書",IF(COUNTIF($M$14:$M$29,15)&gt;=1,"",15),"")</f>
        <v/>
      </c>
    </row>
    <row r="25" spans="1:27" ht="26.25" customHeight="1" x14ac:dyDescent="0.15">
      <c r="A25" s="8" t="str">
        <f t="shared" si="1"/>
        <v/>
      </c>
      <c r="B25" s="8" t="str">
        <f t="shared" si="2"/>
        <v/>
      </c>
      <c r="C25" s="8" t="str">
        <f t="shared" si="3"/>
        <v/>
      </c>
      <c r="F25" s="20">
        <v>12</v>
      </c>
      <c r="G25" s="46"/>
      <c r="H25" s="47"/>
      <c r="I25" s="21"/>
      <c r="J25" s="22"/>
      <c r="K25" s="22"/>
      <c r="L25" s="22"/>
      <c r="M25" s="22"/>
      <c r="N25" s="23"/>
      <c r="Q25" s="8" t="str">
        <f t="shared" si="4"/>
        <v/>
      </c>
      <c r="R25" s="8" t="str">
        <f t="shared" si="4"/>
        <v/>
      </c>
      <c r="S25" s="8" t="str">
        <f t="shared" si="5"/>
        <v>　</v>
      </c>
      <c r="U25" s="8">
        <f t="shared" si="6"/>
        <v>0</v>
      </c>
      <c r="V25" s="8" t="str">
        <f t="shared" si="0"/>
        <v/>
      </c>
      <c r="W25" s="8" t="str">
        <f t="shared" si="7"/>
        <v/>
      </c>
      <c r="Z25" s="8" t="str">
        <f>IF($E$1="６　一年生卓球競技参加申込書",IF(COUNTIF($M$14:$M$29,16)&gt;=1,"",16),"")</f>
        <v/>
      </c>
    </row>
    <row r="26" spans="1:27" ht="26.25" customHeight="1" x14ac:dyDescent="0.15">
      <c r="A26" s="8" t="str">
        <f t="shared" si="1"/>
        <v/>
      </c>
      <c r="B26" s="8" t="str">
        <f t="shared" si="2"/>
        <v/>
      </c>
      <c r="C26" s="8" t="str">
        <f t="shared" si="3"/>
        <v/>
      </c>
      <c r="F26" s="20">
        <v>13</v>
      </c>
      <c r="G26" s="46"/>
      <c r="H26" s="47"/>
      <c r="I26" s="21"/>
      <c r="J26" s="22"/>
      <c r="K26" s="22"/>
      <c r="L26" s="22"/>
      <c r="M26" s="22"/>
      <c r="N26" s="23"/>
      <c r="Q26" s="8" t="str">
        <f t="shared" si="4"/>
        <v/>
      </c>
      <c r="R26" s="8" t="str">
        <f t="shared" si="4"/>
        <v/>
      </c>
      <c r="S26" s="8" t="str">
        <f t="shared" si="5"/>
        <v>　</v>
      </c>
      <c r="U26" s="8">
        <f t="shared" si="6"/>
        <v>0</v>
      </c>
      <c r="V26" s="8" t="str">
        <f t="shared" si="0"/>
        <v/>
      </c>
      <c r="W26" s="8" t="str">
        <f t="shared" si="7"/>
        <v/>
      </c>
    </row>
    <row r="27" spans="1:27" ht="26.25" customHeight="1" x14ac:dyDescent="0.15">
      <c r="A27" s="8" t="str">
        <f t="shared" si="1"/>
        <v/>
      </c>
      <c r="B27" s="8" t="str">
        <f t="shared" si="2"/>
        <v/>
      </c>
      <c r="C27" s="8" t="str">
        <f t="shared" si="3"/>
        <v/>
      </c>
      <c r="F27" s="20">
        <v>14</v>
      </c>
      <c r="G27" s="46"/>
      <c r="H27" s="47"/>
      <c r="I27" s="21"/>
      <c r="J27" s="22"/>
      <c r="K27" s="22"/>
      <c r="L27" s="22"/>
      <c r="M27" s="22"/>
      <c r="N27" s="23"/>
      <c r="Q27" s="8" t="str">
        <f t="shared" si="4"/>
        <v/>
      </c>
      <c r="R27" s="8" t="str">
        <f t="shared" si="4"/>
        <v/>
      </c>
      <c r="S27" s="8" t="str">
        <f t="shared" si="5"/>
        <v>　</v>
      </c>
      <c r="U27" s="8">
        <f t="shared" si="6"/>
        <v>0</v>
      </c>
      <c r="V27" s="8" t="str">
        <f t="shared" si="0"/>
        <v/>
      </c>
      <c r="W27" s="8" t="str">
        <f t="shared" si="7"/>
        <v/>
      </c>
    </row>
    <row r="28" spans="1:27" ht="26.25" customHeight="1" x14ac:dyDescent="0.15">
      <c r="A28" s="8" t="str">
        <f t="shared" si="1"/>
        <v/>
      </c>
      <c r="B28" s="8" t="str">
        <f t="shared" si="2"/>
        <v/>
      </c>
      <c r="C28" s="8" t="str">
        <f t="shared" si="3"/>
        <v/>
      </c>
      <c r="F28" s="20">
        <v>15</v>
      </c>
      <c r="G28" s="46"/>
      <c r="H28" s="47"/>
      <c r="I28" s="21"/>
      <c r="J28" s="22"/>
      <c r="K28" s="22"/>
      <c r="L28" s="25"/>
      <c r="M28" s="25"/>
      <c r="N28" s="26"/>
      <c r="Q28" s="8" t="str">
        <f t="shared" si="4"/>
        <v/>
      </c>
      <c r="R28" s="8" t="str">
        <f t="shared" si="4"/>
        <v/>
      </c>
      <c r="S28" s="8" t="str">
        <f t="shared" si="5"/>
        <v>　</v>
      </c>
      <c r="U28" s="8">
        <f t="shared" si="6"/>
        <v>0</v>
      </c>
      <c r="V28" s="8" t="str">
        <f t="shared" si="0"/>
        <v/>
      </c>
      <c r="W28" s="8" t="str">
        <f t="shared" si="7"/>
        <v/>
      </c>
    </row>
    <row r="29" spans="1:27" ht="26.25" customHeight="1" thickBot="1" x14ac:dyDescent="0.2">
      <c r="A29" s="8" t="str">
        <f t="shared" si="1"/>
        <v/>
      </c>
      <c r="B29" s="8" t="str">
        <f t="shared" si="2"/>
        <v/>
      </c>
      <c r="C29" s="8" t="str">
        <f t="shared" si="3"/>
        <v/>
      </c>
      <c r="F29" s="27">
        <v>16</v>
      </c>
      <c r="G29" s="48"/>
      <c r="H29" s="49"/>
      <c r="I29" s="28"/>
      <c r="J29" s="29"/>
      <c r="K29" s="29"/>
      <c r="L29" s="25"/>
      <c r="M29" s="25"/>
      <c r="N29" s="26"/>
      <c r="Q29" s="8" t="str">
        <f t="shared" si="4"/>
        <v/>
      </c>
      <c r="R29" s="8" t="str">
        <f t="shared" si="4"/>
        <v/>
      </c>
      <c r="S29" s="8" t="str">
        <f t="shared" si="5"/>
        <v>　</v>
      </c>
      <c r="U29" s="8">
        <f t="shared" si="6"/>
        <v>0</v>
      </c>
      <c r="V29" s="8" t="str">
        <f t="shared" si="0"/>
        <v/>
      </c>
      <c r="W29" s="8" t="str">
        <f t="shared" si="7"/>
        <v/>
      </c>
    </row>
    <row r="30" spans="1:27" ht="28.5" customHeight="1" thickBot="1" x14ac:dyDescent="0.2">
      <c r="B30" s="64">
        <f>MAX(B14:B29)/2</f>
        <v>0</v>
      </c>
      <c r="C30" s="65">
        <f>MAX(C14:C29)</f>
        <v>0</v>
      </c>
      <c r="F30" s="30"/>
      <c r="G30" s="30"/>
      <c r="H30" s="30"/>
      <c r="I30" s="30"/>
      <c r="J30" s="30"/>
      <c r="K30" s="31"/>
      <c r="L30" s="32" t="s">
        <v>35</v>
      </c>
      <c r="M30" s="142">
        <f>SUM(U14:U29)</f>
        <v>0</v>
      </c>
      <c r="N30" s="142"/>
    </row>
    <row r="31" spans="1:27" x14ac:dyDescent="0.15">
      <c r="F31" s="98"/>
      <c r="G31" s="99" t="str">
        <f>"申込締切日　：　"&amp;VLOOKUP(Menu!F1,F45:N47,9,FALSE)</f>
        <v>申込締切日　：　平成30年4月27日（金）</v>
      </c>
      <c r="H31" s="99"/>
      <c r="I31" s="99"/>
      <c r="J31" s="99"/>
      <c r="K31" s="100"/>
      <c r="L31" s="100"/>
      <c r="M31" s="100"/>
      <c r="N31" s="100"/>
      <c r="W31" s="8" t="s">
        <v>36</v>
      </c>
    </row>
    <row r="32" spans="1:27" x14ac:dyDescent="0.15">
      <c r="F32" s="98" t="s">
        <v>37</v>
      </c>
      <c r="G32" s="99" t="s">
        <v>38</v>
      </c>
      <c r="H32" s="99"/>
      <c r="I32" s="99"/>
      <c r="J32" s="99"/>
      <c r="K32" s="100"/>
      <c r="L32" s="100"/>
      <c r="M32" s="100"/>
      <c r="N32" s="100"/>
      <c r="W32" s="8">
        <f>MAX(L14:L29)</f>
        <v>0</v>
      </c>
    </row>
    <row r="33" spans="6:37" x14ac:dyDescent="0.15">
      <c r="F33" s="98" t="s">
        <v>37</v>
      </c>
      <c r="G33" s="99" t="str">
        <f>"ダブルス"&amp;VLOOKUP(E1,G45:N47,5,FALSE)&amp;"、シングルス"&amp;VLOOKUP(E1,G45:N47,6,FALSE)&amp;"は強い順にそれぞれの欄の番号を付けてください。"</f>
        <v>ダブルス（４組）、シングルス（８名）は強い順にそれぞれの欄の番号を付けてください。</v>
      </c>
      <c r="H33" s="99"/>
      <c r="I33" s="99"/>
      <c r="J33" s="99"/>
      <c r="K33" s="100"/>
      <c r="L33" s="100"/>
      <c r="M33" s="100"/>
      <c r="N33" s="100"/>
      <c r="W33" s="8">
        <f>ROUNDDOWN(COUNT(L14:L29)/2,0)</f>
        <v>0</v>
      </c>
    </row>
    <row r="34" spans="6:37" x14ac:dyDescent="0.15">
      <c r="F34" s="99"/>
      <c r="G34" s="99" t="s">
        <v>39</v>
      </c>
      <c r="H34" s="99"/>
      <c r="I34" s="99"/>
      <c r="J34" s="99"/>
      <c r="K34" s="100"/>
      <c r="L34" s="100"/>
      <c r="M34" s="100"/>
      <c r="N34" s="100"/>
    </row>
    <row r="35" spans="6:37" x14ac:dyDescent="0.15">
      <c r="F35" s="99" t="s">
        <v>40</v>
      </c>
      <c r="G35" s="99"/>
      <c r="H35" s="99"/>
      <c r="I35" s="99"/>
      <c r="J35" s="99"/>
      <c r="K35" s="100"/>
      <c r="L35" s="100"/>
      <c r="M35" s="100"/>
      <c r="N35" s="100"/>
    </row>
    <row r="36" spans="6:37" x14ac:dyDescent="0.15">
      <c r="F36" s="99" t="s">
        <v>41</v>
      </c>
      <c r="G36" s="99"/>
      <c r="H36" s="99"/>
      <c r="I36" s="99"/>
      <c r="J36" s="99"/>
      <c r="K36" s="100"/>
      <c r="L36" s="100"/>
      <c r="M36" s="100"/>
      <c r="N36" s="100"/>
    </row>
    <row r="37" spans="6:37" ht="8.25" customHeight="1" x14ac:dyDescent="0.15">
      <c r="F37" s="99"/>
      <c r="G37" s="99"/>
      <c r="H37" s="99"/>
      <c r="I37" s="99"/>
      <c r="J37" s="99"/>
      <c r="K37" s="100"/>
      <c r="L37" s="100"/>
      <c r="M37" s="100"/>
      <c r="N37" s="100"/>
    </row>
    <row r="38" spans="6:37" ht="14.25" x14ac:dyDescent="0.15">
      <c r="F38" s="99"/>
      <c r="G38" s="127" t="s">
        <v>200</v>
      </c>
      <c r="H38" s="127"/>
      <c r="I38" s="127"/>
      <c r="J38" s="127"/>
      <c r="K38" s="100"/>
      <c r="L38" s="100"/>
      <c r="M38" s="100"/>
      <c r="N38" s="100"/>
      <c r="O38" s="33"/>
      <c r="P38" s="33"/>
      <c r="Q38" s="33"/>
      <c r="R38" s="33"/>
      <c r="S38" s="33"/>
      <c r="T38" s="33"/>
      <c r="U38" s="33"/>
    </row>
    <row r="39" spans="6:37" x14ac:dyDescent="0.15">
      <c r="F39" s="99"/>
      <c r="G39" s="99"/>
      <c r="H39" s="99"/>
      <c r="I39" s="99"/>
      <c r="J39" s="99"/>
      <c r="K39" s="100"/>
      <c r="L39" s="100"/>
      <c r="M39" s="100"/>
      <c r="N39" s="100"/>
    </row>
    <row r="40" spans="6:37" ht="14.25" x14ac:dyDescent="0.15">
      <c r="F40" s="99"/>
      <c r="G40" s="99"/>
      <c r="H40" s="128" t="str">
        <f>IF(Menu!C8="","高等学校",Menu!G8)</f>
        <v>↑学校番号を入力して下さい。</v>
      </c>
      <c r="I40" s="128"/>
      <c r="J40" s="128"/>
      <c r="K40" s="101" t="s">
        <v>85</v>
      </c>
      <c r="L40" s="126" t="str">
        <f>IF(Menu!C12="","校長名を入力する",Menu!C12)</f>
        <v>校長名を入力する</v>
      </c>
      <c r="M40" s="126"/>
      <c r="N40" s="102" t="s">
        <v>84</v>
      </c>
    </row>
    <row r="41" spans="6:37" x14ac:dyDescent="0.15">
      <c r="F41" s="30"/>
      <c r="G41" s="30"/>
      <c r="H41" s="30"/>
      <c r="I41" s="30"/>
      <c r="J41" s="30"/>
      <c r="K41" s="31"/>
      <c r="L41" s="31"/>
      <c r="M41" s="31"/>
      <c r="N41" s="31"/>
    </row>
    <row r="43" spans="6:37" s="34" customFormat="1" x14ac:dyDescent="0.15">
      <c r="K43" s="35"/>
      <c r="L43" s="35"/>
      <c r="M43" s="35"/>
      <c r="N43" s="35"/>
    </row>
    <row r="44" spans="6:37" s="34" customFormat="1" ht="12.75" hidden="1" customHeight="1" x14ac:dyDescent="0.15">
      <c r="K44" s="35"/>
      <c r="L44" s="35"/>
      <c r="M44" s="35"/>
      <c r="N44" s="35"/>
    </row>
    <row r="45" spans="6:37" s="34" customFormat="1" hidden="1" x14ac:dyDescent="0.15">
      <c r="F45" s="34">
        <v>1</v>
      </c>
      <c r="G45" s="34" t="s">
        <v>18</v>
      </c>
      <c r="I45" s="34" t="s">
        <v>55</v>
      </c>
      <c r="J45" s="34" t="s">
        <v>42</v>
      </c>
      <c r="K45" s="34" t="s">
        <v>43</v>
      </c>
      <c r="L45" s="34" t="s">
        <v>42</v>
      </c>
      <c r="N45" s="36" t="str">
        <f>Menu!C25</f>
        <v>平成30年4月27日（金）</v>
      </c>
    </row>
    <row r="46" spans="6:37" s="34" customFormat="1" hidden="1" x14ac:dyDescent="0.15">
      <c r="F46" s="34">
        <v>2</v>
      </c>
      <c r="G46" s="34" t="s">
        <v>44</v>
      </c>
      <c r="I46" s="34" t="s">
        <v>56</v>
      </c>
      <c r="J46" s="34" t="s">
        <v>42</v>
      </c>
      <c r="K46" s="34" t="s">
        <v>45</v>
      </c>
      <c r="L46" s="34" t="s">
        <v>45</v>
      </c>
      <c r="N46" s="36" t="str">
        <f>Menu!C26</f>
        <v>平成30年7月17日（火）</v>
      </c>
    </row>
    <row r="47" spans="6:37" s="34" customFormat="1" hidden="1" x14ac:dyDescent="0.15">
      <c r="F47" s="34">
        <v>3</v>
      </c>
      <c r="G47" s="34" t="s">
        <v>46</v>
      </c>
      <c r="I47" s="34" t="s">
        <v>57</v>
      </c>
      <c r="J47" s="34" t="s">
        <v>42</v>
      </c>
      <c r="K47" s="34" t="s">
        <v>43</v>
      </c>
      <c r="L47" s="34" t="s">
        <v>42</v>
      </c>
      <c r="N47" s="36" t="str">
        <f>Menu!C27</f>
        <v>平成30年9月26日（水）</v>
      </c>
    </row>
    <row r="48" spans="6:37" s="34" customFormat="1" ht="12.75" hidden="1" customHeight="1" x14ac:dyDescent="0.15">
      <c r="K48" s="35"/>
      <c r="L48" s="35"/>
      <c r="M48" s="35"/>
      <c r="N48" s="35"/>
      <c r="AK48" s="37"/>
    </row>
    <row r="49" spans="6:37" s="34" customFormat="1" x14ac:dyDescent="0.15">
      <c r="K49" s="35"/>
      <c r="L49" s="35"/>
      <c r="M49" s="35"/>
      <c r="N49" s="35"/>
      <c r="AJ49" s="37"/>
      <c r="AK49" s="38"/>
    </row>
    <row r="50" spans="6:37" s="34" customFormat="1" x14ac:dyDescent="0.15">
      <c r="K50" s="35"/>
      <c r="M50" s="35"/>
      <c r="N50" s="35"/>
      <c r="AJ50" s="35"/>
      <c r="AK50" s="38"/>
    </row>
    <row r="51" spans="6:37" x14ac:dyDescent="0.15">
      <c r="L51" s="8"/>
      <c r="AK51" s="39"/>
    </row>
    <row r="52" spans="6:37" x14ac:dyDescent="0.15">
      <c r="L52" s="8"/>
      <c r="AJ52" s="40"/>
    </row>
    <row r="53" spans="6:37" x14ac:dyDescent="0.15">
      <c r="F53"/>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row r="101" spans="32:36" x14ac:dyDescent="0.15">
      <c r="AF101"/>
      <c r="AG101"/>
      <c r="AH101"/>
      <c r="AI101"/>
      <c r="AJ101"/>
    </row>
    <row r="102" spans="32:36" x14ac:dyDescent="0.15">
      <c r="AF102"/>
      <c r="AG102"/>
      <c r="AH102"/>
      <c r="AI102"/>
      <c r="AJ102"/>
    </row>
  </sheetData>
  <sheetProtection algorithmName="SHA-512" hashValue="AbHuabAt/3gTR2nRL19d/sF/hxiZ2PMx3a4aC5bDNecpYc8Olt8/lQO5+NPG0Ylxq+jaEQUj0V3xT0Yu9BDYPg==" saltValue="K0Tvdvv1vwCgKrR31On2iw==" spinCount="100000" sheet="1" objects="1" scenarios="1" selectLockedCells="1"/>
  <mergeCells count="25">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 ref="I7:M7"/>
    <mergeCell ref="L40:M40"/>
    <mergeCell ref="G38:J38"/>
    <mergeCell ref="H40:J40"/>
    <mergeCell ref="L10:L11"/>
    <mergeCell ref="I8:M8"/>
    <mergeCell ref="I10:I12"/>
    <mergeCell ref="J10:J12"/>
    <mergeCell ref="K10:K11"/>
  </mergeCells>
  <phoneticPr fontId="16"/>
  <conditionalFormatting sqref="AH15:AH16">
    <cfRule type="cellIs" dxfId="13" priority="5" stopIfTrue="1" operator="equal">
      <formula>"申し込みに不備が有ります"</formula>
    </cfRule>
  </conditionalFormatting>
  <conditionalFormatting sqref="AH14:AI14">
    <cfRule type="cellIs" dxfId="12" priority="6" stopIfTrue="1" operator="equal">
      <formula>"参加しません"</formula>
    </cfRule>
  </conditionalFormatting>
  <conditionalFormatting sqref="I6:M8">
    <cfRule type="containsText" dxfId="11" priority="3" operator="containsText" text="設定">
      <formula>NOT(ISERROR(SEARCH("設定",I6)))</formula>
    </cfRule>
  </conditionalFormatting>
  <conditionalFormatting sqref="L5:M5">
    <cfRule type="containsText" dxfId="10" priority="2" operator="containsText" text="設定の学校番号を入力">
      <formula>NOT(ISERROR(SEARCH("設定の学校番号を入力",L5)))</formula>
    </cfRule>
  </conditionalFormatting>
  <conditionalFormatting sqref="I5:K5">
    <cfRule type="containsText" dxfId="9" priority="1" operator="containsText" text="○">
      <formula>NOT(ISERROR(SEARCH("○",I5)))</formula>
    </cfRule>
  </conditionalFormatting>
  <dataValidations count="5">
    <dataValidation type="list" allowBlank="1" showErrorMessage="1" sqref="K14:K29">
      <formula1>$Y$9:$Y$10</formula1>
      <formula2>0</formula2>
    </dataValidation>
    <dataValidation type="list" allowBlank="1" showErrorMessage="1" sqref="J14:J29">
      <formula1>$T$14:$T$16</formula1>
      <formula2>0</formula2>
    </dataValidation>
    <dataValidation allowBlank="1" showErrorMessage="1" sqref="N14:N29 G14:I29">
      <formula1>0</formula1>
      <formula2>0</formula2>
    </dataValidation>
    <dataValidation type="list" allowBlank="1" showErrorMessage="1" sqref="L14:L29">
      <formula1>$AA$9:$AA$17</formula1>
      <formula2>0</formula2>
    </dataValidation>
    <dataValidation type="list" allowBlank="1" showErrorMessage="1" sqref="M14:M29">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
  <sheetViews>
    <sheetView showGridLines="0" showRowColHeaders="0" topLeftCell="E4" zoomScale="85" zoomScaleNormal="85" workbookViewId="0">
      <selection activeCell="G38" sqref="G38:J38"/>
    </sheetView>
  </sheetViews>
  <sheetFormatPr defaultRowHeight="13.5" x14ac:dyDescent="0.15"/>
  <cols>
    <col min="1" max="4" width="9" style="8" hidden="1" customWidth="1"/>
    <col min="5" max="5" width="2.625" style="8" customWidth="1"/>
    <col min="6" max="6" width="5.125" style="8" customWidth="1"/>
    <col min="7" max="8" width="8.5" style="8" customWidth="1"/>
    <col min="9" max="9" width="19.125" style="8" customWidth="1"/>
    <col min="10" max="10" width="5.375" style="8" customWidth="1"/>
    <col min="11" max="13" width="9.125" style="9" customWidth="1"/>
    <col min="14" max="14" width="7.25" style="9" customWidth="1"/>
    <col min="15" max="15" width="2.375" style="8" customWidth="1"/>
    <col min="16" max="18" width="9" style="8" hidden="1" customWidth="1"/>
    <col min="19" max="19" width="23" style="8" hidden="1" customWidth="1"/>
    <col min="20" max="31" width="9" style="8" hidden="1" customWidth="1"/>
    <col min="32" max="32" width="9" style="8"/>
    <col min="33" max="33" width="14.625" style="8" customWidth="1"/>
    <col min="34" max="34" width="31.875" style="8" customWidth="1"/>
    <col min="35" max="35" width="19.625" style="8" customWidth="1"/>
    <col min="36" max="16384" width="9" style="8"/>
  </cols>
  <sheetData>
    <row r="1" spans="1:35" ht="18.75" x14ac:dyDescent="0.15">
      <c r="E1" s="143" t="str">
        <f>VLOOKUP(Menu!F1,大会名,2,FALSE)</f>
        <v>６　総体卓球競技参加申込書</v>
      </c>
      <c r="F1" s="143"/>
      <c r="G1" s="143"/>
      <c r="H1" s="143"/>
      <c r="I1" s="143"/>
      <c r="J1" s="143"/>
      <c r="K1" s="143"/>
      <c r="L1" s="143"/>
      <c r="M1" s="143"/>
      <c r="N1" s="143"/>
      <c r="O1" s="143"/>
      <c r="P1" s="10"/>
      <c r="Q1" s="10"/>
      <c r="R1" s="10"/>
      <c r="S1" s="10"/>
      <c r="T1" s="10"/>
      <c r="U1" s="10"/>
    </row>
    <row r="2" spans="1:35" ht="6" customHeight="1" thickBot="1" x14ac:dyDescent="0.2">
      <c r="E2" s="10"/>
      <c r="F2" s="10"/>
      <c r="G2" s="10"/>
      <c r="H2" s="10"/>
      <c r="I2" s="10"/>
      <c r="J2" s="10"/>
      <c r="K2" s="10"/>
      <c r="L2" s="10"/>
      <c r="M2" s="10"/>
      <c r="N2" s="10"/>
      <c r="O2" s="10"/>
      <c r="P2" s="10"/>
      <c r="Q2" s="10"/>
      <c r="R2" s="10"/>
      <c r="S2" s="10"/>
      <c r="T2" s="10"/>
      <c r="U2" s="10"/>
    </row>
    <row r="3" spans="1:35" ht="30" customHeight="1" thickBot="1" x14ac:dyDescent="0.2">
      <c r="F3" s="164" t="s">
        <v>58</v>
      </c>
      <c r="G3" s="164"/>
      <c r="H3" s="75"/>
      <c r="I3" s="97" t="str">
        <f>IF(G38="平成　２８　年　○○　月　○○　日","※申込日を入力して下さい。","")</f>
        <v/>
      </c>
      <c r="J3" s="76"/>
      <c r="K3" s="77"/>
    </row>
    <row r="4" spans="1:35" ht="12" customHeight="1" thickBot="1" x14ac:dyDescent="0.2">
      <c r="F4" s="9"/>
      <c r="G4" s="9"/>
      <c r="H4" s="9"/>
      <c r="I4" s="9"/>
    </row>
    <row r="5" spans="1:35" ht="16.5" customHeight="1" x14ac:dyDescent="0.15">
      <c r="G5" s="179" t="s">
        <v>80</v>
      </c>
      <c r="H5" s="180"/>
      <c r="I5" s="159" t="str">
        <f>IF(Menu!C8="","設定メニューから学校名を入力",Menu!G8)</f>
        <v>↑学校番号を入力して下さい。</v>
      </c>
      <c r="J5" s="159"/>
      <c r="K5" s="159"/>
      <c r="L5" s="140" t="str">
        <f>IF(Menu!C6="","設定の学校番号を入力","学校番号: "&amp;Menu!C6)</f>
        <v>設定の学校番号を入力</v>
      </c>
      <c r="M5" s="141"/>
    </row>
    <row r="6" spans="1:35" ht="16.5" customHeight="1" x14ac:dyDescent="0.15">
      <c r="G6" s="181" t="s">
        <v>81</v>
      </c>
      <c r="H6" s="182"/>
      <c r="I6" s="124" t="str">
        <f>IF(Menu!C16="","設定メニューの所在地名を入力して下さい",Menu!C14&amp;"  "&amp;Menu!C16)</f>
        <v>設定メニューの所在地名を入力して下さい</v>
      </c>
      <c r="J6" s="124"/>
      <c r="K6" s="124"/>
      <c r="L6" s="124"/>
      <c r="M6" s="125"/>
    </row>
    <row r="7" spans="1:35" ht="16.5" customHeight="1" x14ac:dyDescent="0.15">
      <c r="G7" s="183" t="s">
        <v>82</v>
      </c>
      <c r="H7" s="184"/>
      <c r="I7" s="124" t="str">
        <f>IF(Menu!C18="","設定メニューから電話・Ｆａｘ番号を入力して下さい","TEL : "&amp;Menu!C18&amp;"/ FAX : "&amp;Menu!C20)</f>
        <v>設定メニューから電話・Ｆａｘ番号を入力して下さい</v>
      </c>
      <c r="J7" s="124"/>
      <c r="K7" s="124"/>
      <c r="L7" s="124"/>
      <c r="M7" s="125"/>
      <c r="W7" s="8" t="s">
        <v>19</v>
      </c>
    </row>
    <row r="8" spans="1:35" ht="16.5" customHeight="1" thickBot="1" x14ac:dyDescent="0.2">
      <c r="G8" s="185" t="s">
        <v>83</v>
      </c>
      <c r="H8" s="186"/>
      <c r="I8" s="131" t="str">
        <f>IF(Menu!C22="","設定メニューの引率者名を入力して下さい",Menu!C22)</f>
        <v>設定メニューの引率者名を入力して下さい</v>
      </c>
      <c r="J8" s="131"/>
      <c r="K8" s="131"/>
      <c r="L8" s="131"/>
      <c r="M8" s="132"/>
    </row>
    <row r="9" spans="1:35" ht="14.25" thickBot="1" x14ac:dyDescent="0.2">
      <c r="W9" s="8" t="s">
        <v>20</v>
      </c>
    </row>
    <row r="10" spans="1:35" ht="12.75" customHeight="1" x14ac:dyDescent="0.15">
      <c r="F10" s="176" t="s">
        <v>21</v>
      </c>
      <c r="G10" s="165" t="s">
        <v>22</v>
      </c>
      <c r="H10" s="166"/>
      <c r="I10" s="169" t="s">
        <v>23</v>
      </c>
      <c r="J10" s="172" t="s">
        <v>24</v>
      </c>
      <c r="K10" s="172" t="s">
        <v>25</v>
      </c>
      <c r="L10" s="172" t="s">
        <v>26</v>
      </c>
      <c r="M10" s="172" t="s">
        <v>27</v>
      </c>
      <c r="N10" s="187" t="s">
        <v>28</v>
      </c>
      <c r="Y10" s="8" t="str">
        <f>IF(COUNTIF(K14:K28,"○")=8,"","○")</f>
        <v>○</v>
      </c>
      <c r="Z10" s="8">
        <f>IF(COUNTIF($M$14:$M$28,1)&gt;=1,"",1)</f>
        <v>1</v>
      </c>
      <c r="AA10" s="8">
        <f>IF(COUNTIF($L$14:$L$28,1)&gt;=2,"",1)</f>
        <v>1</v>
      </c>
    </row>
    <row r="11" spans="1:35" ht="12.75" customHeight="1" x14ac:dyDescent="0.15">
      <c r="F11" s="177"/>
      <c r="G11" s="167"/>
      <c r="H11" s="168"/>
      <c r="I11" s="170"/>
      <c r="J11" s="173"/>
      <c r="K11" s="175"/>
      <c r="L11" s="175"/>
      <c r="M11" s="175"/>
      <c r="N11" s="188"/>
      <c r="Z11" s="8">
        <f>IF(COUNTIF($M$14:$M$28,2)&gt;=1,"",2)</f>
        <v>2</v>
      </c>
      <c r="AA11" s="8">
        <f>IF(COUNTIF($L$14:$L$28,2)&gt;=2,"",2)</f>
        <v>2</v>
      </c>
    </row>
    <row r="12" spans="1:35" ht="12.75" customHeight="1" thickBot="1" x14ac:dyDescent="0.2">
      <c r="F12" s="178"/>
      <c r="G12" s="71" t="s">
        <v>52</v>
      </c>
      <c r="H12" s="74" t="s">
        <v>53</v>
      </c>
      <c r="I12" s="171"/>
      <c r="J12" s="174"/>
      <c r="K12" s="72" t="str">
        <f>VLOOKUP(E1,$G$45:$L$47,4,FALSE)</f>
        <v>（８名）</v>
      </c>
      <c r="L12" s="72" t="str">
        <f>VLOOKUP(E1,$G$45:$L$47,5,FALSE)</f>
        <v>（４組）</v>
      </c>
      <c r="M12" s="90" t="str">
        <f>VLOOKUP(E1,$G$45:$L$47,6,FALSE)</f>
        <v>（８名）</v>
      </c>
      <c r="N12" s="189"/>
      <c r="Z12" s="8">
        <f>IF(COUNTIF($M$14:$M$28,3)&gt;=1,"",3)</f>
        <v>3</v>
      </c>
      <c r="AA12" s="8">
        <f>IF(COUNTIF($L$14:$L$28,3)&gt;=2,"",3)</f>
        <v>3</v>
      </c>
    </row>
    <row r="13" spans="1:35" ht="30.75" customHeight="1" thickTop="1" thickBot="1" x14ac:dyDescent="0.2">
      <c r="F13" s="11" t="s">
        <v>29</v>
      </c>
      <c r="G13" s="68"/>
      <c r="H13" s="69"/>
      <c r="I13" s="12" t="s">
        <v>30</v>
      </c>
      <c r="J13" s="13"/>
      <c r="K13" s="13"/>
      <c r="L13" s="13"/>
      <c r="M13" s="13"/>
      <c r="N13" s="14"/>
      <c r="Q13" s="8" t="str">
        <f>SUBSTITUTE(SUBSTITUTE(G13,"　","")," ","")</f>
        <v/>
      </c>
      <c r="R13" s="8" t="str">
        <f>SUBSTITUTE(SUBSTITUTE(H13,"　","")," ","")</f>
        <v/>
      </c>
      <c r="S13" s="8" t="str">
        <f>IF(Q13="","",IF(LEN(Q13)=1,Q13&amp;"　　",IF(LEN(Q13)=2,LEFT(Q13,1)&amp;"　"&amp;RIGHT(Q13,1),Q13)))&amp;"　"&amp;IF(R13="","",IF(LEN(R13)=1,"　　"&amp;R13,IF(LEN(R13)=2,LEFT(R13,1)&amp;"　"&amp;RIGHT(R13,1),R13)))</f>
        <v>　</v>
      </c>
      <c r="V13" s="8">
        <f>COUNT(V14:V29)</f>
        <v>0</v>
      </c>
      <c r="Z13" s="8">
        <f>IF(COUNTIF($M$14:$M$28,4)&gt;=1,"",4)</f>
        <v>4</v>
      </c>
      <c r="AA13" s="8">
        <f>IF(COUNTIF($L$14:$L$28,4)&gt;=2,"",4)</f>
        <v>4</v>
      </c>
      <c r="AG13" s="138" t="str">
        <f>MID(E1,3,30)</f>
        <v>総体卓球競技参加申込書</v>
      </c>
      <c r="AH13" s="138"/>
    </row>
    <row r="14" spans="1:35" ht="26.25" customHeight="1" thickTop="1" x14ac:dyDescent="0.15">
      <c r="A14" s="8" t="str">
        <f>IF(V14="","",RANK(V14,$V$14:$V$29,1))</f>
        <v/>
      </c>
      <c r="B14" s="8" t="str">
        <f>IF(W14="","",RANK(W14,$W$14:$W$29,1))</f>
        <v/>
      </c>
      <c r="C14" s="8" t="str">
        <f>IF(M14="","",M14)</f>
        <v/>
      </c>
      <c r="F14" s="15">
        <v>1</v>
      </c>
      <c r="G14" s="44"/>
      <c r="H14" s="45"/>
      <c r="I14" s="16"/>
      <c r="J14" s="17"/>
      <c r="K14" s="17"/>
      <c r="L14" s="17"/>
      <c r="M14" s="17"/>
      <c r="N14" s="18"/>
      <c r="Q14" s="8" t="str">
        <f>SUBSTITUTE(SUBSTITUTE(G14,"　","")," ","")</f>
        <v/>
      </c>
      <c r="R14" s="8" t="str">
        <f>SUBSTITUTE(SUBSTITUTE(H14,"　","")," ","")</f>
        <v/>
      </c>
      <c r="S14" s="8" t="str">
        <f>IF(Q14="","",IF(LEN(Q14)=1,Q14&amp;"　　",IF(LEN(Q14)=2,LEFT(Q14,1)&amp;"　"&amp;RIGHT(Q14,1),Q14)))&amp;"　"&amp;IF(R14="","",IF(LEN(R14)=1,"　　"&amp;R14,IF(LEN(R14)=2,LEFT(R14,1)&amp;"　"&amp;RIGHT(R14,1),R14)))</f>
        <v>　</v>
      </c>
      <c r="T14" s="8">
        <v>1</v>
      </c>
      <c r="U14" s="8">
        <f>IF(COUNT(L14:M14)+COUNTIF(K14,"○")&gt;0,1,0)</f>
        <v>0</v>
      </c>
      <c r="V14" s="8" t="str">
        <f t="shared" ref="V14:V29" si="0">IF(K14="○",F14,"")</f>
        <v/>
      </c>
      <c r="W14" s="8" t="str">
        <f>IF(L14="","",L14+F14/100)</f>
        <v/>
      </c>
      <c r="Z14" s="8">
        <f>IF(COUNTIF($M$14:$M$28,5)&gt;=1,"",5)</f>
        <v>5</v>
      </c>
      <c r="AA14" s="8" t="str">
        <f>IF($E$1="６　一年生卓球競技参加申込書",IF(COUNTIF($L$14:$L$29,5)&gt;=2,"",5),"")</f>
        <v/>
      </c>
      <c r="AB14" s="8" t="s">
        <v>31</v>
      </c>
      <c r="AG14" s="19" t="s">
        <v>32</v>
      </c>
      <c r="AH14" s="139" t="str">
        <f>IF(V13&gt;0,"参加します( "&amp;V13&amp;" 名)","参加しません")</f>
        <v>参加しません</v>
      </c>
      <c r="AI14" s="139"/>
    </row>
    <row r="15" spans="1:35" ht="26.25" customHeight="1" x14ac:dyDescent="0.15">
      <c r="A15" s="8" t="str">
        <f t="shared" ref="A15:A29" si="1">IF(V15="","",RANK(V15,$V$14:$V$29,1))</f>
        <v/>
      </c>
      <c r="B15" s="8" t="str">
        <f t="shared" ref="B15:B29" si="2">IF(W15="","",RANK(W15,$W$14:$W$29,1))</f>
        <v/>
      </c>
      <c r="C15" s="8" t="str">
        <f t="shared" ref="C15:C29" si="3">IF(M15="","",M15)</f>
        <v/>
      </c>
      <c r="F15" s="20">
        <v>2</v>
      </c>
      <c r="G15" s="46"/>
      <c r="H15" s="47"/>
      <c r="I15" s="21"/>
      <c r="J15" s="22"/>
      <c r="K15" s="22"/>
      <c r="L15" s="22"/>
      <c r="M15" s="22"/>
      <c r="N15" s="23"/>
      <c r="Q15" s="8" t="str">
        <f t="shared" ref="Q15:R29" si="4">SUBSTITUTE(SUBSTITUTE(G15,"　","")," ","")</f>
        <v/>
      </c>
      <c r="R15" s="8" t="str">
        <f t="shared" si="4"/>
        <v/>
      </c>
      <c r="S15" s="8" t="str">
        <f t="shared" ref="S15:S29" si="5">IF(Q15="","",IF(LEN(Q15)=1,Q15&amp;"　　",IF(LEN(Q15)=2,LEFT(Q15,1)&amp;"　"&amp;RIGHT(Q15,1),Q15)))&amp;"　"&amp;IF(R15="","",IF(LEN(R15)=1,"　　"&amp;R15,IF(LEN(R15)=2,LEFT(R15,1)&amp;"　"&amp;RIGHT(R15,1),R15)))</f>
        <v>　</v>
      </c>
      <c r="T15" s="8">
        <v>2</v>
      </c>
      <c r="U15" s="8">
        <f t="shared" ref="U15:U29" si="6">IF(COUNT(L15:M15)+COUNTIF(K15,"○")&gt;0,1,0)</f>
        <v>0</v>
      </c>
      <c r="V15" s="8" t="str">
        <f t="shared" si="0"/>
        <v/>
      </c>
      <c r="W15" s="8" t="str">
        <f t="shared" ref="W15:W29" si="7">IF(L15="","",L15+F15/100)</f>
        <v/>
      </c>
      <c r="Z15" s="8">
        <f>IF(COUNTIF($M$14:$M$28,6)&gt;=1,"",6)</f>
        <v>6</v>
      </c>
      <c r="AA15" s="8" t="str">
        <f>IF($E$1="６　一年生卓球競技参加申込書",IF(COUNTIF($L$14:$L$29,6)&gt;=2,"",6),"")</f>
        <v/>
      </c>
      <c r="AB15" s="8" t="s">
        <v>33</v>
      </c>
      <c r="AG15" s="19" t="s">
        <v>26</v>
      </c>
      <c r="AH15" s="24" t="str">
        <f>IF(W32=W33,W33&amp;" 組","申し込みに不備が有ります")</f>
        <v>0 組</v>
      </c>
      <c r="AI15" s="24"/>
    </row>
    <row r="16" spans="1:35" ht="26.25" customHeight="1" x14ac:dyDescent="0.15">
      <c r="A16" s="8" t="str">
        <f t="shared" si="1"/>
        <v/>
      </c>
      <c r="B16" s="8" t="str">
        <f t="shared" si="2"/>
        <v/>
      </c>
      <c r="C16" s="8" t="str">
        <f t="shared" si="3"/>
        <v/>
      </c>
      <c r="F16" s="20">
        <v>3</v>
      </c>
      <c r="G16" s="46"/>
      <c r="H16" s="47"/>
      <c r="I16" s="21"/>
      <c r="J16" s="22"/>
      <c r="K16" s="22"/>
      <c r="L16" s="22"/>
      <c r="M16" s="22"/>
      <c r="N16" s="23"/>
      <c r="Q16" s="8" t="str">
        <f t="shared" si="4"/>
        <v/>
      </c>
      <c r="R16" s="8" t="str">
        <f t="shared" si="4"/>
        <v/>
      </c>
      <c r="S16" s="8" t="str">
        <f t="shared" si="5"/>
        <v>　</v>
      </c>
      <c r="T16" s="8">
        <v>3</v>
      </c>
      <c r="U16" s="8">
        <f t="shared" si="6"/>
        <v>0</v>
      </c>
      <c r="V16" s="8" t="str">
        <f t="shared" si="0"/>
        <v/>
      </c>
      <c r="W16" s="8" t="str">
        <f t="shared" si="7"/>
        <v/>
      </c>
      <c r="Z16" s="8">
        <f>IF(COUNTIF($M$14:$M$28,7)&gt;=1,"",7)</f>
        <v>7</v>
      </c>
      <c r="AA16" s="8" t="str">
        <f>IF($E$1="６　一年生卓球競技参加申込書",IF(COUNTIF($L$14:$L$29,7)&gt;=2,"",7),"")</f>
        <v/>
      </c>
      <c r="AG16" s="19" t="s">
        <v>34</v>
      </c>
      <c r="AH16" s="24" t="str">
        <f>IF(COUNT(M14:M28)=MAX(M14:M28),MAX(M14:M28)&amp;" 人","申し込みに不備が有ります")</f>
        <v>0 人</v>
      </c>
      <c r="AI16" s="24"/>
    </row>
    <row r="17" spans="1:27" ht="26.25" customHeight="1" x14ac:dyDescent="0.15">
      <c r="A17" s="8" t="str">
        <f t="shared" si="1"/>
        <v/>
      </c>
      <c r="B17" s="8" t="str">
        <f t="shared" si="2"/>
        <v/>
      </c>
      <c r="C17" s="8" t="str">
        <f t="shared" si="3"/>
        <v/>
      </c>
      <c r="F17" s="20">
        <v>4</v>
      </c>
      <c r="G17" s="46"/>
      <c r="H17" s="47"/>
      <c r="I17" s="21"/>
      <c r="J17" s="22"/>
      <c r="K17" s="22"/>
      <c r="L17" s="22"/>
      <c r="M17" s="22"/>
      <c r="N17" s="23"/>
      <c r="Q17" s="8" t="str">
        <f t="shared" si="4"/>
        <v/>
      </c>
      <c r="R17" s="8" t="str">
        <f t="shared" si="4"/>
        <v/>
      </c>
      <c r="S17" s="8" t="str">
        <f t="shared" si="5"/>
        <v>　</v>
      </c>
      <c r="U17" s="8">
        <f t="shared" si="6"/>
        <v>0</v>
      </c>
      <c r="V17" s="8" t="str">
        <f t="shared" si="0"/>
        <v/>
      </c>
      <c r="W17" s="8" t="str">
        <f t="shared" si="7"/>
        <v/>
      </c>
      <c r="Z17" s="8">
        <f>IF(COUNTIF($M$14:$M$28,8)&gt;=1,"",8)</f>
        <v>8</v>
      </c>
      <c r="AA17" s="8" t="str">
        <f>IF($E$1="６　一年生卓球競技参加申込書",IF(COUNTIF($L$14:$L$29,8)&gt;=2,"",8),"")</f>
        <v/>
      </c>
    </row>
    <row r="18" spans="1:27" ht="26.25" customHeight="1" x14ac:dyDescent="0.15">
      <c r="A18" s="8" t="str">
        <f t="shared" si="1"/>
        <v/>
      </c>
      <c r="B18" s="8" t="str">
        <f t="shared" si="2"/>
        <v/>
      </c>
      <c r="C18" s="8" t="str">
        <f t="shared" si="3"/>
        <v/>
      </c>
      <c r="F18" s="20">
        <v>5</v>
      </c>
      <c r="G18" s="46"/>
      <c r="H18" s="47"/>
      <c r="I18" s="21"/>
      <c r="J18" s="22"/>
      <c r="K18" s="22"/>
      <c r="L18" s="22"/>
      <c r="M18" s="22"/>
      <c r="N18" s="23"/>
      <c r="Q18" s="8" t="str">
        <f t="shared" si="4"/>
        <v/>
      </c>
      <c r="R18" s="8" t="str">
        <f t="shared" si="4"/>
        <v/>
      </c>
      <c r="S18" s="8" t="str">
        <f t="shared" si="5"/>
        <v>　</v>
      </c>
      <c r="U18" s="8">
        <f t="shared" si="6"/>
        <v>0</v>
      </c>
      <c r="V18" s="8" t="str">
        <f t="shared" si="0"/>
        <v/>
      </c>
      <c r="W18" s="8" t="str">
        <f t="shared" si="7"/>
        <v/>
      </c>
      <c r="Z18" s="8" t="str">
        <f>IF($E$1="６　一年生卓球競技参加申込書",IF(COUNTIF($M$14:$M$29,9)&gt;=1,"",9),"")</f>
        <v/>
      </c>
    </row>
    <row r="19" spans="1:27" ht="26.25" customHeight="1" x14ac:dyDescent="0.15">
      <c r="A19" s="8" t="str">
        <f t="shared" si="1"/>
        <v/>
      </c>
      <c r="B19" s="8" t="str">
        <f t="shared" si="2"/>
        <v/>
      </c>
      <c r="C19" s="8" t="str">
        <f t="shared" si="3"/>
        <v/>
      </c>
      <c r="F19" s="20">
        <v>6</v>
      </c>
      <c r="G19" s="46"/>
      <c r="H19" s="47"/>
      <c r="I19" s="21"/>
      <c r="J19" s="22"/>
      <c r="K19" s="22"/>
      <c r="L19" s="22"/>
      <c r="M19" s="22"/>
      <c r="N19" s="23"/>
      <c r="Q19" s="8" t="str">
        <f t="shared" si="4"/>
        <v/>
      </c>
      <c r="R19" s="8" t="str">
        <f t="shared" si="4"/>
        <v/>
      </c>
      <c r="S19" s="8" t="str">
        <f t="shared" si="5"/>
        <v>　</v>
      </c>
      <c r="U19" s="8">
        <f t="shared" si="6"/>
        <v>0</v>
      </c>
      <c r="V19" s="8" t="str">
        <f t="shared" si="0"/>
        <v/>
      </c>
      <c r="W19" s="8" t="str">
        <f t="shared" si="7"/>
        <v/>
      </c>
      <c r="Z19" s="8" t="str">
        <f>IF($E$1="６　一年生卓球競技参加申込書",IF(COUNTIF($M$14:$M$29,10)&gt;=1,"",10),"")</f>
        <v/>
      </c>
    </row>
    <row r="20" spans="1:27" ht="26.25" customHeight="1" x14ac:dyDescent="0.15">
      <c r="A20" s="8" t="str">
        <f t="shared" si="1"/>
        <v/>
      </c>
      <c r="B20" s="8" t="str">
        <f t="shared" si="2"/>
        <v/>
      </c>
      <c r="C20" s="8" t="str">
        <f t="shared" si="3"/>
        <v/>
      </c>
      <c r="F20" s="20">
        <v>7</v>
      </c>
      <c r="G20" s="46"/>
      <c r="H20" s="47"/>
      <c r="I20" s="21"/>
      <c r="J20" s="22"/>
      <c r="K20" s="22"/>
      <c r="L20" s="22"/>
      <c r="M20" s="22"/>
      <c r="N20" s="23"/>
      <c r="Q20" s="8" t="str">
        <f t="shared" si="4"/>
        <v/>
      </c>
      <c r="R20" s="8" t="str">
        <f t="shared" si="4"/>
        <v/>
      </c>
      <c r="S20" s="8" t="str">
        <f t="shared" si="5"/>
        <v>　</v>
      </c>
      <c r="U20" s="8">
        <f t="shared" si="6"/>
        <v>0</v>
      </c>
      <c r="V20" s="8" t="str">
        <f t="shared" si="0"/>
        <v/>
      </c>
      <c r="W20" s="8" t="str">
        <f t="shared" si="7"/>
        <v/>
      </c>
      <c r="Z20" s="8" t="str">
        <f>IF($E$1="６　一年生卓球競技参加申込書",IF(COUNTIF($M$14:$M$29,11)&gt;=1,"",11),"")</f>
        <v/>
      </c>
    </row>
    <row r="21" spans="1:27" ht="26.25" customHeight="1" x14ac:dyDescent="0.15">
      <c r="A21" s="8" t="str">
        <f t="shared" si="1"/>
        <v/>
      </c>
      <c r="B21" s="8" t="str">
        <f t="shared" si="2"/>
        <v/>
      </c>
      <c r="C21" s="8" t="str">
        <f t="shared" si="3"/>
        <v/>
      </c>
      <c r="F21" s="20">
        <v>8</v>
      </c>
      <c r="G21" s="46"/>
      <c r="H21" s="47"/>
      <c r="I21" s="21"/>
      <c r="J21" s="22"/>
      <c r="K21" s="22"/>
      <c r="L21" s="22"/>
      <c r="M21" s="22"/>
      <c r="N21" s="23"/>
      <c r="Q21" s="8" t="str">
        <f t="shared" si="4"/>
        <v/>
      </c>
      <c r="R21" s="8" t="str">
        <f t="shared" si="4"/>
        <v/>
      </c>
      <c r="S21" s="8" t="str">
        <f t="shared" si="5"/>
        <v>　</v>
      </c>
      <c r="U21" s="8">
        <f t="shared" si="6"/>
        <v>0</v>
      </c>
      <c r="V21" s="8" t="str">
        <f t="shared" si="0"/>
        <v/>
      </c>
      <c r="W21" s="8" t="str">
        <f t="shared" si="7"/>
        <v/>
      </c>
      <c r="Z21" s="8" t="str">
        <f>IF($E$1="６　一年生卓球競技参加申込書",IF(COUNTIF($M$14:$M$29,12)&gt;=1,"",12),"")</f>
        <v/>
      </c>
    </row>
    <row r="22" spans="1:27" ht="26.25" customHeight="1" x14ac:dyDescent="0.15">
      <c r="A22" s="8" t="str">
        <f t="shared" si="1"/>
        <v/>
      </c>
      <c r="B22" s="8" t="str">
        <f t="shared" si="2"/>
        <v/>
      </c>
      <c r="C22" s="8" t="str">
        <f t="shared" si="3"/>
        <v/>
      </c>
      <c r="F22" s="20">
        <v>9</v>
      </c>
      <c r="G22" s="46"/>
      <c r="H22" s="47"/>
      <c r="I22" s="21"/>
      <c r="J22" s="22"/>
      <c r="K22" s="22"/>
      <c r="L22" s="22"/>
      <c r="M22" s="22"/>
      <c r="N22" s="23"/>
      <c r="Q22" s="8" t="str">
        <f t="shared" si="4"/>
        <v/>
      </c>
      <c r="R22" s="8" t="str">
        <f t="shared" si="4"/>
        <v/>
      </c>
      <c r="S22" s="8" t="str">
        <f t="shared" si="5"/>
        <v>　</v>
      </c>
      <c r="U22" s="8">
        <f t="shared" si="6"/>
        <v>0</v>
      </c>
      <c r="V22" s="8" t="str">
        <f t="shared" si="0"/>
        <v/>
      </c>
      <c r="W22" s="8" t="str">
        <f t="shared" si="7"/>
        <v/>
      </c>
      <c r="Z22" s="8" t="str">
        <f>IF($E$1="６　一年生卓球競技参加申込書",IF(COUNTIF($M$14:$M$29,13)&gt;=1,"",13),"")</f>
        <v/>
      </c>
    </row>
    <row r="23" spans="1:27" ht="26.25" customHeight="1" x14ac:dyDescent="0.15">
      <c r="A23" s="8" t="str">
        <f t="shared" si="1"/>
        <v/>
      </c>
      <c r="B23" s="8" t="str">
        <f t="shared" si="2"/>
        <v/>
      </c>
      <c r="C23" s="8" t="str">
        <f t="shared" si="3"/>
        <v/>
      </c>
      <c r="F23" s="20">
        <v>10</v>
      </c>
      <c r="G23" s="46"/>
      <c r="H23" s="47"/>
      <c r="I23" s="21"/>
      <c r="J23" s="22"/>
      <c r="K23" s="22"/>
      <c r="L23" s="22"/>
      <c r="M23" s="22"/>
      <c r="N23" s="23"/>
      <c r="Q23" s="8" t="str">
        <f t="shared" si="4"/>
        <v/>
      </c>
      <c r="R23" s="8" t="str">
        <f t="shared" si="4"/>
        <v/>
      </c>
      <c r="S23" s="8" t="str">
        <f t="shared" si="5"/>
        <v>　</v>
      </c>
      <c r="U23" s="8">
        <f t="shared" si="6"/>
        <v>0</v>
      </c>
      <c r="V23" s="8" t="str">
        <f t="shared" si="0"/>
        <v/>
      </c>
      <c r="W23" s="8" t="str">
        <f t="shared" si="7"/>
        <v/>
      </c>
      <c r="Z23" s="8" t="str">
        <f>IF($E$1="６　一年生卓球競技参加申込書",IF(COUNTIF($M$14:$M$29,14)&gt;=1,"",14),"")</f>
        <v/>
      </c>
    </row>
    <row r="24" spans="1:27" ht="26.25" customHeight="1" x14ac:dyDescent="0.15">
      <c r="A24" s="8" t="str">
        <f t="shared" si="1"/>
        <v/>
      </c>
      <c r="B24" s="8" t="str">
        <f t="shared" si="2"/>
        <v/>
      </c>
      <c r="C24" s="8" t="str">
        <f t="shared" si="3"/>
        <v/>
      </c>
      <c r="F24" s="20">
        <v>11</v>
      </c>
      <c r="G24" s="46"/>
      <c r="H24" s="47"/>
      <c r="I24" s="21"/>
      <c r="J24" s="22"/>
      <c r="K24" s="22"/>
      <c r="L24" s="22"/>
      <c r="M24" s="22"/>
      <c r="N24" s="23"/>
      <c r="Q24" s="8" t="str">
        <f t="shared" si="4"/>
        <v/>
      </c>
      <c r="R24" s="8" t="str">
        <f t="shared" si="4"/>
        <v/>
      </c>
      <c r="S24" s="8" t="str">
        <f t="shared" si="5"/>
        <v>　</v>
      </c>
      <c r="U24" s="8">
        <f t="shared" si="6"/>
        <v>0</v>
      </c>
      <c r="V24" s="8" t="str">
        <f t="shared" si="0"/>
        <v/>
      </c>
      <c r="W24" s="8" t="str">
        <f t="shared" si="7"/>
        <v/>
      </c>
      <c r="Z24" s="8" t="str">
        <f>IF($E$1="６　一年生卓球競技参加申込書",IF(COUNTIF($M$14:$M$29,15)&gt;=1,"",15),"")</f>
        <v/>
      </c>
    </row>
    <row r="25" spans="1:27" ht="26.25" customHeight="1" x14ac:dyDescent="0.15">
      <c r="A25" s="8" t="str">
        <f t="shared" si="1"/>
        <v/>
      </c>
      <c r="B25" s="8" t="str">
        <f t="shared" si="2"/>
        <v/>
      </c>
      <c r="C25" s="8" t="str">
        <f t="shared" si="3"/>
        <v/>
      </c>
      <c r="F25" s="20">
        <v>12</v>
      </c>
      <c r="G25" s="46"/>
      <c r="H25" s="47"/>
      <c r="I25" s="21"/>
      <c r="J25" s="22"/>
      <c r="K25" s="22"/>
      <c r="L25" s="22"/>
      <c r="M25" s="22"/>
      <c r="N25" s="23"/>
      <c r="Q25" s="8" t="str">
        <f t="shared" si="4"/>
        <v/>
      </c>
      <c r="R25" s="8" t="str">
        <f t="shared" si="4"/>
        <v/>
      </c>
      <c r="S25" s="8" t="str">
        <f t="shared" si="5"/>
        <v>　</v>
      </c>
      <c r="U25" s="8">
        <f t="shared" si="6"/>
        <v>0</v>
      </c>
      <c r="V25" s="8" t="str">
        <f t="shared" si="0"/>
        <v/>
      </c>
      <c r="W25" s="8" t="str">
        <f t="shared" si="7"/>
        <v/>
      </c>
      <c r="Z25" s="8" t="str">
        <f>IF($E$1="６　一年生卓球競技参加申込書",IF(COUNTIF($M$14:$M$29,16)&gt;=1,"",16),"")</f>
        <v/>
      </c>
    </row>
    <row r="26" spans="1:27" ht="26.25" customHeight="1" x14ac:dyDescent="0.15">
      <c r="A26" s="8" t="str">
        <f t="shared" si="1"/>
        <v/>
      </c>
      <c r="B26" s="8" t="str">
        <f t="shared" si="2"/>
        <v/>
      </c>
      <c r="C26" s="8" t="str">
        <f t="shared" si="3"/>
        <v/>
      </c>
      <c r="F26" s="20">
        <v>13</v>
      </c>
      <c r="G26" s="46"/>
      <c r="H26" s="47"/>
      <c r="I26" s="21"/>
      <c r="J26" s="22"/>
      <c r="K26" s="22"/>
      <c r="L26" s="22"/>
      <c r="M26" s="22"/>
      <c r="N26" s="23"/>
      <c r="Q26" s="8" t="str">
        <f t="shared" si="4"/>
        <v/>
      </c>
      <c r="R26" s="8" t="str">
        <f t="shared" si="4"/>
        <v/>
      </c>
      <c r="S26" s="8" t="str">
        <f t="shared" si="5"/>
        <v>　</v>
      </c>
      <c r="U26" s="8">
        <f t="shared" si="6"/>
        <v>0</v>
      </c>
      <c r="V26" s="8" t="str">
        <f t="shared" si="0"/>
        <v/>
      </c>
      <c r="W26" s="8" t="str">
        <f t="shared" si="7"/>
        <v/>
      </c>
    </row>
    <row r="27" spans="1:27" ht="26.25" customHeight="1" x14ac:dyDescent="0.15">
      <c r="A27" s="8" t="str">
        <f t="shared" si="1"/>
        <v/>
      </c>
      <c r="B27" s="8" t="str">
        <f t="shared" si="2"/>
        <v/>
      </c>
      <c r="C27" s="8" t="str">
        <f t="shared" si="3"/>
        <v/>
      </c>
      <c r="F27" s="20">
        <v>14</v>
      </c>
      <c r="G27" s="46"/>
      <c r="H27" s="47"/>
      <c r="I27" s="21"/>
      <c r="J27" s="22"/>
      <c r="K27" s="22"/>
      <c r="L27" s="22"/>
      <c r="M27" s="22"/>
      <c r="N27" s="23"/>
      <c r="Q27" s="8" t="str">
        <f t="shared" si="4"/>
        <v/>
      </c>
      <c r="R27" s="8" t="str">
        <f t="shared" si="4"/>
        <v/>
      </c>
      <c r="S27" s="8" t="str">
        <f t="shared" si="5"/>
        <v>　</v>
      </c>
      <c r="U27" s="8">
        <f t="shared" si="6"/>
        <v>0</v>
      </c>
      <c r="V27" s="8" t="str">
        <f t="shared" si="0"/>
        <v/>
      </c>
      <c r="W27" s="8" t="str">
        <f t="shared" si="7"/>
        <v/>
      </c>
    </row>
    <row r="28" spans="1:27" ht="26.25" customHeight="1" x14ac:dyDescent="0.15">
      <c r="A28" s="8" t="str">
        <f t="shared" si="1"/>
        <v/>
      </c>
      <c r="B28" s="8" t="str">
        <f t="shared" si="2"/>
        <v/>
      </c>
      <c r="C28" s="8" t="str">
        <f t="shared" si="3"/>
        <v/>
      </c>
      <c r="F28" s="20">
        <v>15</v>
      </c>
      <c r="G28" s="46"/>
      <c r="H28" s="47"/>
      <c r="I28" s="21"/>
      <c r="J28" s="22"/>
      <c r="K28" s="22"/>
      <c r="L28" s="25"/>
      <c r="M28" s="25"/>
      <c r="N28" s="26"/>
      <c r="Q28" s="8" t="str">
        <f t="shared" si="4"/>
        <v/>
      </c>
      <c r="R28" s="8" t="str">
        <f t="shared" si="4"/>
        <v/>
      </c>
      <c r="S28" s="8" t="str">
        <f t="shared" si="5"/>
        <v>　</v>
      </c>
      <c r="U28" s="8">
        <f t="shared" si="6"/>
        <v>0</v>
      </c>
      <c r="V28" s="8" t="str">
        <f t="shared" si="0"/>
        <v/>
      </c>
      <c r="W28" s="8" t="str">
        <f t="shared" si="7"/>
        <v/>
      </c>
    </row>
    <row r="29" spans="1:27" ht="26.25" customHeight="1" thickBot="1" x14ac:dyDescent="0.2">
      <c r="A29" s="8" t="str">
        <f t="shared" si="1"/>
        <v/>
      </c>
      <c r="B29" s="8" t="str">
        <f t="shared" si="2"/>
        <v/>
      </c>
      <c r="C29" s="8" t="str">
        <f t="shared" si="3"/>
        <v/>
      </c>
      <c r="F29" s="27">
        <v>16</v>
      </c>
      <c r="G29" s="48"/>
      <c r="H29" s="49"/>
      <c r="I29" s="28"/>
      <c r="J29" s="29"/>
      <c r="K29" s="29"/>
      <c r="L29" s="25"/>
      <c r="M29" s="25"/>
      <c r="N29" s="26"/>
      <c r="Q29" s="8" t="str">
        <f t="shared" si="4"/>
        <v/>
      </c>
      <c r="R29" s="8" t="str">
        <f t="shared" si="4"/>
        <v/>
      </c>
      <c r="S29" s="8" t="str">
        <f t="shared" si="5"/>
        <v>　</v>
      </c>
      <c r="U29" s="8">
        <f t="shared" si="6"/>
        <v>0</v>
      </c>
      <c r="V29" s="8" t="str">
        <f t="shared" si="0"/>
        <v/>
      </c>
      <c r="W29" s="8" t="str">
        <f t="shared" si="7"/>
        <v/>
      </c>
    </row>
    <row r="30" spans="1:27" ht="28.5" customHeight="1" thickBot="1" x14ac:dyDescent="0.2">
      <c r="B30" s="64">
        <f>MAX(B14:B29)/2</f>
        <v>0</v>
      </c>
      <c r="C30" s="65">
        <f>MAX(C14:C29)</f>
        <v>0</v>
      </c>
      <c r="F30" s="30"/>
      <c r="G30" s="30"/>
      <c r="H30" s="30"/>
      <c r="I30" s="30"/>
      <c r="J30" s="30"/>
      <c r="K30" s="31"/>
      <c r="L30" s="32" t="s">
        <v>35</v>
      </c>
      <c r="M30" s="142">
        <f>SUM(U14:U29)</f>
        <v>0</v>
      </c>
      <c r="N30" s="142"/>
    </row>
    <row r="31" spans="1:27" x14ac:dyDescent="0.15">
      <c r="F31" s="98"/>
      <c r="G31" s="99" t="str">
        <f>"申込締切日　：　"&amp;VLOOKUP(Menu!F1,F45:N47,9,FALSE)</f>
        <v>申込締切日　：　平成30年4月27日（金）</v>
      </c>
      <c r="H31" s="99"/>
      <c r="I31" s="99"/>
      <c r="J31" s="99"/>
      <c r="K31" s="100"/>
      <c r="L31" s="100"/>
      <c r="M31" s="100"/>
      <c r="N31" s="100"/>
      <c r="W31" s="8" t="s">
        <v>36</v>
      </c>
    </row>
    <row r="32" spans="1:27" x14ac:dyDescent="0.15">
      <c r="F32" s="98" t="s">
        <v>37</v>
      </c>
      <c r="G32" s="99" t="s">
        <v>38</v>
      </c>
      <c r="H32" s="99"/>
      <c r="I32" s="99"/>
      <c r="J32" s="99"/>
      <c r="K32" s="100"/>
      <c r="L32" s="100"/>
      <c r="M32" s="100"/>
      <c r="N32" s="100"/>
      <c r="W32" s="8">
        <f>MAX(L14:L29)</f>
        <v>0</v>
      </c>
    </row>
    <row r="33" spans="6:37" x14ac:dyDescent="0.15">
      <c r="F33" s="98" t="s">
        <v>37</v>
      </c>
      <c r="G33" s="99" t="str">
        <f>"ダブルス"&amp;VLOOKUP(E1,G45:N47,5,FALSE)&amp;"、シングルス"&amp;VLOOKUP(E1,G45:N47,6,FALSE)&amp;"は強い順にそれぞれの欄の番号を付けてください。"</f>
        <v>ダブルス（４組）、シングルス（８名）は強い順にそれぞれの欄の番号を付けてください。</v>
      </c>
      <c r="H33" s="99"/>
      <c r="I33" s="99"/>
      <c r="J33" s="99"/>
      <c r="K33" s="100"/>
      <c r="L33" s="100"/>
      <c r="M33" s="100"/>
      <c r="N33" s="100"/>
      <c r="W33" s="8">
        <f>ROUNDDOWN(COUNT(L14:L29)/2,0)</f>
        <v>0</v>
      </c>
    </row>
    <row r="34" spans="6:37" x14ac:dyDescent="0.15">
      <c r="F34" s="99"/>
      <c r="G34" s="99" t="s">
        <v>39</v>
      </c>
      <c r="H34" s="99"/>
      <c r="I34" s="99"/>
      <c r="J34" s="99"/>
      <c r="K34" s="100"/>
      <c r="L34" s="100"/>
      <c r="M34" s="100"/>
      <c r="N34" s="100"/>
    </row>
    <row r="35" spans="6:37" x14ac:dyDescent="0.15">
      <c r="F35" s="99" t="s">
        <v>40</v>
      </c>
      <c r="G35" s="99"/>
      <c r="H35" s="99"/>
      <c r="I35" s="99"/>
      <c r="J35" s="99"/>
      <c r="K35" s="100"/>
      <c r="L35" s="100"/>
      <c r="M35" s="100"/>
      <c r="N35" s="100"/>
    </row>
    <row r="36" spans="6:37" x14ac:dyDescent="0.15">
      <c r="F36" s="99" t="s">
        <v>41</v>
      </c>
      <c r="G36" s="99"/>
      <c r="H36" s="99"/>
      <c r="I36" s="99"/>
      <c r="J36" s="99"/>
      <c r="K36" s="100"/>
      <c r="L36" s="100"/>
      <c r="M36" s="100"/>
      <c r="N36" s="100"/>
    </row>
    <row r="37" spans="6:37" ht="8.25" customHeight="1" x14ac:dyDescent="0.15">
      <c r="F37" s="99"/>
      <c r="G37" s="99"/>
      <c r="H37" s="99"/>
      <c r="I37" s="99"/>
      <c r="J37" s="99"/>
      <c r="K37" s="100"/>
      <c r="L37" s="100"/>
      <c r="M37" s="100"/>
      <c r="N37" s="100"/>
    </row>
    <row r="38" spans="6:37" ht="14.25" x14ac:dyDescent="0.15">
      <c r="F38" s="99"/>
      <c r="G38" s="127" t="s">
        <v>201</v>
      </c>
      <c r="H38" s="127"/>
      <c r="I38" s="127"/>
      <c r="J38" s="127"/>
      <c r="K38" s="100"/>
      <c r="L38" s="100"/>
      <c r="M38" s="100"/>
      <c r="N38" s="100"/>
      <c r="O38" s="33"/>
      <c r="P38" s="33"/>
      <c r="Q38" s="33"/>
      <c r="R38" s="33"/>
      <c r="S38" s="33"/>
      <c r="T38" s="33"/>
      <c r="U38" s="33"/>
    </row>
    <row r="39" spans="6:37" x14ac:dyDescent="0.15">
      <c r="F39" s="99"/>
      <c r="G39" s="99"/>
      <c r="H39" s="99"/>
      <c r="I39" s="99"/>
      <c r="J39" s="99"/>
      <c r="K39" s="100"/>
      <c r="L39" s="100"/>
      <c r="M39" s="100"/>
      <c r="N39" s="100"/>
    </row>
    <row r="40" spans="6:37" ht="14.25" x14ac:dyDescent="0.15">
      <c r="F40" s="99"/>
      <c r="G40" s="99"/>
      <c r="H40" s="128" t="str">
        <f>IF(Menu!C8="","高等学校",Menu!G8)</f>
        <v>↑学校番号を入力して下さい。</v>
      </c>
      <c r="I40" s="128"/>
      <c r="J40" s="128"/>
      <c r="K40" s="101" t="s">
        <v>86</v>
      </c>
      <c r="L40" s="126" t="str">
        <f>IF(Menu!C12="","校長名を入力する",Menu!C12)</f>
        <v>校長名を入力する</v>
      </c>
      <c r="M40" s="126"/>
      <c r="N40" s="102" t="s">
        <v>84</v>
      </c>
    </row>
    <row r="41" spans="6:37" x14ac:dyDescent="0.15">
      <c r="F41" s="30"/>
      <c r="G41" s="30"/>
      <c r="H41" s="30"/>
      <c r="I41" s="30"/>
      <c r="J41" s="30"/>
      <c r="K41" s="31"/>
      <c r="L41" s="31"/>
      <c r="M41" s="31"/>
      <c r="N41" s="31"/>
    </row>
    <row r="43" spans="6:37" s="34" customFormat="1" x14ac:dyDescent="0.15">
      <c r="K43" s="35"/>
      <c r="L43" s="35"/>
      <c r="M43" s="35"/>
      <c r="N43" s="35"/>
    </row>
    <row r="44" spans="6:37" s="34" customFormat="1" ht="12.75" customHeight="1" x14ac:dyDescent="0.15">
      <c r="K44" s="35"/>
      <c r="L44" s="35"/>
      <c r="M44" s="35"/>
      <c r="N44" s="35"/>
    </row>
    <row r="45" spans="6:37" s="34" customFormat="1" hidden="1" x14ac:dyDescent="0.15">
      <c r="F45" s="34">
        <v>1</v>
      </c>
      <c r="G45" s="34" t="s">
        <v>18</v>
      </c>
      <c r="I45" s="34" t="s">
        <v>55</v>
      </c>
      <c r="J45" s="34" t="s">
        <v>42</v>
      </c>
      <c r="K45" s="34" t="s">
        <v>43</v>
      </c>
      <c r="L45" s="34" t="s">
        <v>42</v>
      </c>
      <c r="N45" s="36" t="str">
        <f>Menu!C25</f>
        <v>平成30年4月27日（金）</v>
      </c>
    </row>
    <row r="46" spans="6:37" s="34" customFormat="1" hidden="1" x14ac:dyDescent="0.15">
      <c r="F46" s="34">
        <v>2</v>
      </c>
      <c r="G46" s="34" t="s">
        <v>44</v>
      </c>
      <c r="I46" s="34" t="s">
        <v>56</v>
      </c>
      <c r="J46" s="34" t="s">
        <v>42</v>
      </c>
      <c r="K46" s="34" t="s">
        <v>45</v>
      </c>
      <c r="L46" s="34" t="s">
        <v>45</v>
      </c>
      <c r="N46" s="36" t="str">
        <f>Menu!C26</f>
        <v>平成30年7月17日（火）</v>
      </c>
    </row>
    <row r="47" spans="6:37" s="34" customFormat="1" hidden="1" x14ac:dyDescent="0.15">
      <c r="F47" s="34">
        <v>3</v>
      </c>
      <c r="G47" s="34" t="s">
        <v>46</v>
      </c>
      <c r="I47" s="34" t="s">
        <v>57</v>
      </c>
      <c r="J47" s="34" t="s">
        <v>42</v>
      </c>
      <c r="K47" s="34" t="s">
        <v>43</v>
      </c>
      <c r="L47" s="34" t="s">
        <v>42</v>
      </c>
      <c r="N47" s="36" t="str">
        <f>Menu!C27</f>
        <v>平成30年9月26日（水）</v>
      </c>
    </row>
    <row r="48" spans="6:37" s="34" customFormat="1" ht="12.75" customHeight="1" x14ac:dyDescent="0.15">
      <c r="K48" s="35"/>
      <c r="L48" s="35"/>
      <c r="M48" s="35"/>
      <c r="N48" s="35"/>
      <c r="AK48" s="37"/>
    </row>
    <row r="49" spans="6:37" s="34" customFormat="1" x14ac:dyDescent="0.15">
      <c r="K49" s="35"/>
      <c r="L49" s="35"/>
      <c r="M49" s="35"/>
      <c r="N49" s="35"/>
      <c r="AJ49" s="37"/>
      <c r="AK49" s="38"/>
    </row>
    <row r="50" spans="6:37" s="34" customFormat="1" x14ac:dyDescent="0.15">
      <c r="K50" s="35"/>
      <c r="M50" s="35"/>
      <c r="N50" s="35"/>
      <c r="AJ50" s="35"/>
      <c r="AK50" s="38"/>
    </row>
    <row r="51" spans="6:37" x14ac:dyDescent="0.15">
      <c r="L51" s="8"/>
      <c r="AK51" s="39"/>
    </row>
    <row r="52" spans="6:37" x14ac:dyDescent="0.15">
      <c r="L52" s="8"/>
      <c r="AJ52" s="40"/>
    </row>
    <row r="53" spans="6:37" x14ac:dyDescent="0.15">
      <c r="F53" s="1" t="s">
        <v>47</v>
      </c>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sheetData>
  <sheetProtection algorithmName="SHA-512" hashValue="lxH2+0K7r+yWIkSeQek3W9ijxrmO58rA1wyrxFg/nIyoUaiEZa7Er+nDlaTt6Ot5qsc69dsb++yu1ZpiHYfsDw==" saltValue="WYWJDnyxbRfn8TUl6ROprA==" spinCount="100000" sheet="1" objects="1" scenarios="1" selectLockedCells="1"/>
  <mergeCells count="25">
    <mergeCell ref="H40:J40"/>
    <mergeCell ref="I6:M6"/>
    <mergeCell ref="I7:M7"/>
    <mergeCell ref="I8:M8"/>
    <mergeCell ref="L5:M5"/>
    <mergeCell ref="G38:J38"/>
    <mergeCell ref="AG13:AH13"/>
    <mergeCell ref="AH14:AI14"/>
    <mergeCell ref="M30:N30"/>
    <mergeCell ref="L40:M40"/>
    <mergeCell ref="L10:L11"/>
    <mergeCell ref="M10:M11"/>
    <mergeCell ref="N10:N12"/>
    <mergeCell ref="E1:O1"/>
    <mergeCell ref="F3:G3"/>
    <mergeCell ref="G10:H11"/>
    <mergeCell ref="I10:I12"/>
    <mergeCell ref="J10:J12"/>
    <mergeCell ref="K10:K11"/>
    <mergeCell ref="F10:F12"/>
    <mergeCell ref="G5:H5"/>
    <mergeCell ref="G6:H6"/>
    <mergeCell ref="G7:H7"/>
    <mergeCell ref="G8:H8"/>
    <mergeCell ref="I5:K5"/>
  </mergeCells>
  <phoneticPr fontId="16"/>
  <conditionalFormatting sqref="AH15:AH16">
    <cfRule type="cellIs" dxfId="8" priority="4" stopIfTrue="1" operator="equal">
      <formula>"申し込みに不備が有ります"</formula>
    </cfRule>
  </conditionalFormatting>
  <conditionalFormatting sqref="AH14:AI14">
    <cfRule type="cellIs" dxfId="7" priority="5" stopIfTrue="1" operator="equal">
      <formula>"参加しません"</formula>
    </cfRule>
  </conditionalFormatting>
  <conditionalFormatting sqref="I6:M8">
    <cfRule type="containsText" dxfId="6" priority="3" operator="containsText" text="設定">
      <formula>NOT(ISERROR(SEARCH("設定",I6)))</formula>
    </cfRule>
  </conditionalFormatting>
  <conditionalFormatting sqref="L5:M5">
    <cfRule type="containsText" dxfId="5" priority="2" operator="containsText" text="設定の学校番号を入力">
      <formula>NOT(ISERROR(SEARCH("設定の学校番号を入力",L5)))</formula>
    </cfRule>
  </conditionalFormatting>
  <conditionalFormatting sqref="I5:K5">
    <cfRule type="containsText" dxfId="4" priority="1" operator="containsText" text="○">
      <formula>NOT(ISERROR(SEARCH("○",I5)))</formula>
    </cfRule>
  </conditionalFormatting>
  <dataValidations count="5">
    <dataValidation type="list" allowBlank="1" showErrorMessage="1" sqref="M14:M29">
      <formula1>$Z$9:$Z$24</formula1>
      <formula2>0</formula2>
    </dataValidation>
    <dataValidation type="list" allowBlank="1" showErrorMessage="1" sqref="L14:L29">
      <formula1>$AA$9:$AA$17</formula1>
      <formula2>0</formula2>
    </dataValidation>
    <dataValidation allowBlank="1" showErrorMessage="1" sqref="G14:I29 N14:N29">
      <formula1>0</formula1>
      <formula2>0</formula2>
    </dataValidation>
    <dataValidation type="list" allowBlank="1" showErrorMessage="1" sqref="J14:J29">
      <formula1>$T$14:$T$16</formula1>
      <formula2>0</formula2>
    </dataValidation>
    <dataValidation type="list" allowBlank="1" showErrorMessage="1" sqref="K14:K29">
      <formula1>$Y$9:$Y$10</formula1>
      <formula2>0</formula2>
    </dataValidation>
  </dataValidations>
  <hyperlinks>
    <hyperlink ref="F53" location="男子処理用!A1" display="男子処理用!A1"/>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workbookViewId="0">
      <selection activeCell="F5" sqref="F5"/>
    </sheetView>
  </sheetViews>
  <sheetFormatPr defaultRowHeight="13.5" x14ac:dyDescent="0.15"/>
  <cols>
    <col min="1" max="1" width="5.875" style="70" customWidth="1"/>
    <col min="2" max="2" width="5.5" style="70" bestFit="1" customWidth="1"/>
    <col min="3" max="3" width="15.5" style="70" customWidth="1"/>
    <col min="4" max="4" width="16.375" style="70" customWidth="1"/>
    <col min="5" max="5" width="16.625" style="70" customWidth="1"/>
    <col min="6" max="6" width="16.375" style="70" customWidth="1"/>
    <col min="7" max="7" width="3.375" style="70" customWidth="1"/>
    <col min="8" max="8" width="16.375" style="70" customWidth="1"/>
    <col min="9" max="9" width="3.375" style="70" customWidth="1"/>
    <col min="10" max="10" width="16.375" style="70" customWidth="1"/>
    <col min="11" max="11" width="3.375" style="70" customWidth="1"/>
    <col min="12" max="12" width="16.375" style="70" customWidth="1"/>
    <col min="13" max="13" width="3.375" style="70" customWidth="1"/>
    <col min="14" max="14" width="16.375" style="70" customWidth="1"/>
    <col min="15" max="15" width="3.375" style="70" customWidth="1"/>
    <col min="16" max="16" width="16.375" style="70" customWidth="1"/>
    <col min="17" max="17" width="3.375" style="70" customWidth="1"/>
    <col min="18" max="18" width="16.375" style="70" customWidth="1"/>
    <col min="19" max="19" width="3.375" style="70" customWidth="1"/>
    <col min="20" max="20" width="16.375" style="70" customWidth="1"/>
    <col min="21" max="21" width="3.375" style="70" customWidth="1"/>
    <col min="22" max="22" width="3.75" style="70" customWidth="1"/>
    <col min="23" max="23" width="5.5" style="70" bestFit="1" customWidth="1"/>
    <col min="24" max="24" width="3.5" style="70" bestFit="1" customWidth="1"/>
    <col min="25" max="16384" width="9" style="70"/>
  </cols>
  <sheetData>
    <row r="1" spans="1:26" x14ac:dyDescent="0.15">
      <c r="A1" s="70" t="str">
        <f>Menu!C4</f>
        <v>高校総体</v>
      </c>
      <c r="C1" s="86" t="str">
        <f>IF(男子!V13=0,"参加者男","団体男")</f>
        <v>参加者男</v>
      </c>
      <c r="F1" s="103" t="s">
        <v>48</v>
      </c>
      <c r="W1" s="70" t="s">
        <v>68</v>
      </c>
      <c r="X1" s="70">
        <v>14</v>
      </c>
    </row>
    <row r="2" spans="1:26" x14ac:dyDescent="0.15">
      <c r="C2" s="86" t="str">
        <f>IF(女子!V13=0,"参加者女","団体女")</f>
        <v>参加者女</v>
      </c>
      <c r="W2" s="70" t="s">
        <v>67</v>
      </c>
      <c r="X2" s="70">
        <v>19</v>
      </c>
    </row>
    <row r="3" spans="1:26" x14ac:dyDescent="0.15">
      <c r="A3" s="190" t="s">
        <v>62</v>
      </c>
      <c r="B3" s="190" t="s">
        <v>63</v>
      </c>
      <c r="C3" s="193" t="s">
        <v>59</v>
      </c>
      <c r="D3" s="195" t="s">
        <v>60</v>
      </c>
      <c r="E3" s="196"/>
      <c r="F3" s="191">
        <v>1</v>
      </c>
      <c r="G3" s="192"/>
      <c r="H3" s="191">
        <v>2</v>
      </c>
      <c r="I3" s="192"/>
      <c r="J3" s="191">
        <v>3</v>
      </c>
      <c r="K3" s="192"/>
      <c r="L3" s="191">
        <v>4</v>
      </c>
      <c r="M3" s="192"/>
      <c r="N3" s="191">
        <v>5</v>
      </c>
      <c r="O3" s="192"/>
      <c r="P3" s="191">
        <v>6</v>
      </c>
      <c r="Q3" s="192"/>
      <c r="R3" s="191">
        <v>7</v>
      </c>
      <c r="S3" s="192"/>
      <c r="T3" s="191">
        <v>8</v>
      </c>
      <c r="U3" s="192"/>
      <c r="V3" s="190" t="s">
        <v>62</v>
      </c>
    </row>
    <row r="4" spans="1:26" ht="24" x14ac:dyDescent="0.15">
      <c r="A4" s="190"/>
      <c r="B4" s="190"/>
      <c r="C4" s="194"/>
      <c r="D4" s="91" t="s">
        <v>79</v>
      </c>
      <c r="E4" s="92"/>
      <c r="F4" s="91" t="s">
        <v>79</v>
      </c>
      <c r="G4" s="93" t="s">
        <v>61</v>
      </c>
      <c r="H4" s="91" t="s">
        <v>79</v>
      </c>
      <c r="I4" s="93" t="s">
        <v>61</v>
      </c>
      <c r="J4" s="91" t="s">
        <v>79</v>
      </c>
      <c r="K4" s="93" t="s">
        <v>61</v>
      </c>
      <c r="L4" s="91" t="s">
        <v>79</v>
      </c>
      <c r="M4" s="93" t="s">
        <v>61</v>
      </c>
      <c r="N4" s="91" t="s">
        <v>79</v>
      </c>
      <c r="O4" s="93" t="s">
        <v>61</v>
      </c>
      <c r="P4" s="91" t="s">
        <v>79</v>
      </c>
      <c r="Q4" s="93" t="s">
        <v>61</v>
      </c>
      <c r="R4" s="91" t="s">
        <v>79</v>
      </c>
      <c r="S4" s="93" t="s">
        <v>61</v>
      </c>
      <c r="T4" s="91" t="s">
        <v>79</v>
      </c>
      <c r="U4" s="93" t="s">
        <v>61</v>
      </c>
      <c r="V4" s="190"/>
    </row>
    <row r="5" spans="1:26" x14ac:dyDescent="0.15">
      <c r="A5" s="113"/>
      <c r="B5" s="52" t="s">
        <v>64</v>
      </c>
      <c r="C5" s="114" t="str">
        <f>Menu!H8</f>
        <v>↑学校番号を入力して下さい。</v>
      </c>
      <c r="D5" s="52" t="str">
        <f>男子!S13</f>
        <v>　</v>
      </c>
      <c r="E5" s="52" t="s">
        <v>65</v>
      </c>
      <c r="F5" s="52" t="str">
        <f ca="1">IFERROR(VLOOKUP(F3,INDIRECT($C$1),VLOOKUP(LEFT($C$1,2),$W$1:$Y$2,2),FALSE),"")</f>
        <v>　</v>
      </c>
      <c r="G5" s="52">
        <f ca="1">IFERROR(VLOOKUP(F3,INDIRECT($C$1),VLOOKUP(LEFT($C$1,2),$W$1:$Y$2,2)-9,FALSE),"")</f>
        <v>0</v>
      </c>
      <c r="H5" s="52" t="str">
        <f ca="1">IFERROR(VLOOKUP(H3,INDIRECT($C$1),VLOOKUP(LEFT($C$1,2),$W$1:$Y$2,2),FALSE),"")</f>
        <v>　</v>
      </c>
      <c r="I5" s="52">
        <f ca="1">IFERROR(VLOOKUP(H3,INDIRECT($C$1),VLOOKUP(LEFT($C$1,2),$W$1:$Y$2,2)-9,FALSE),"")</f>
        <v>0</v>
      </c>
      <c r="J5" s="52" t="str">
        <f ca="1">IFERROR(VLOOKUP(J3,INDIRECT($C$1),VLOOKUP(LEFT($C$1,2),$W$1:$Y$2,2),FALSE),"")</f>
        <v>　</v>
      </c>
      <c r="K5" s="52">
        <f ca="1">IFERROR(VLOOKUP(J3,INDIRECT($C$1),VLOOKUP(LEFT($C$1,2),$W$1:$Y$2,2)-9,FALSE),"")</f>
        <v>0</v>
      </c>
      <c r="L5" s="52" t="str">
        <f ca="1">IFERROR(VLOOKUP(L3,INDIRECT($C$1),VLOOKUP(LEFT($C$1,2),$W$1:$Y$2,2),FALSE),"")</f>
        <v>　</v>
      </c>
      <c r="M5" s="52">
        <f ca="1">IFERROR(VLOOKUP(L3,INDIRECT($C$1),VLOOKUP(LEFT($C$1,2),$W$1:$Y$2,2)-9,FALSE),"")</f>
        <v>0</v>
      </c>
      <c r="N5" s="52" t="str">
        <f ca="1">IFERROR(VLOOKUP(N3,INDIRECT($C$1),VLOOKUP(LEFT($C$1,2),$W$1:$Y$2,2),FALSE),"")</f>
        <v>　</v>
      </c>
      <c r="O5" s="52">
        <f ca="1">IFERROR(VLOOKUP(N3,INDIRECT($C$1),VLOOKUP(LEFT($C$1,2),$W$1:$Y$2,2)-9,FALSE),"")</f>
        <v>0</v>
      </c>
      <c r="P5" s="52" t="str">
        <f ca="1">IFERROR(VLOOKUP(P3,INDIRECT($C$1),VLOOKUP(LEFT($C$1,2),$W$1:$Y$2,2),FALSE),"")</f>
        <v>　</v>
      </c>
      <c r="Q5" s="52">
        <f ca="1">IFERROR(VLOOKUP(P3,INDIRECT($C$1),VLOOKUP(LEFT($C$1,2),$W$1:$Y$2,2)-9,FALSE),"")</f>
        <v>0</v>
      </c>
      <c r="R5" s="52" t="str">
        <f ca="1">IFERROR(VLOOKUP(R3,INDIRECT($C$1),VLOOKUP(LEFT($C$1,2),$W$1:$Y$2,2),FALSE),"")</f>
        <v>　</v>
      </c>
      <c r="S5" s="52">
        <f ca="1">IFERROR(VLOOKUP(R3,INDIRECT($C$1),VLOOKUP(LEFT($C$1,2),$W$1:$Y$2,2)-9,FALSE),"")</f>
        <v>0</v>
      </c>
      <c r="T5" s="52" t="str">
        <f ca="1">IFERROR(VLOOKUP(T3,INDIRECT($C$1),VLOOKUP(LEFT($C$1,2),$W$1:$Y$2,2),FALSE),"")</f>
        <v>　</v>
      </c>
      <c r="U5" s="52">
        <f ca="1">IFERROR(VLOOKUP(T3,INDIRECT($C$1),VLOOKUP(LEFT($C$1,2),$W$1:$Y$2,2)-9,FALSE),"")</f>
        <v>0</v>
      </c>
      <c r="V5" s="113">
        <f>Menu!C6</f>
        <v>0</v>
      </c>
      <c r="W5" s="115"/>
      <c r="X5" s="115"/>
      <c r="Y5" s="115"/>
      <c r="Z5" s="116"/>
    </row>
    <row r="6" spans="1:26" x14ac:dyDescent="0.15">
      <c r="A6" s="113"/>
      <c r="B6" s="52" t="s">
        <v>66</v>
      </c>
      <c r="C6" s="114" t="str">
        <f>Menu!H8</f>
        <v>↑学校番号を入力して下さい。</v>
      </c>
      <c r="D6" s="52" t="str">
        <f>女子!S13</f>
        <v>　</v>
      </c>
      <c r="E6" s="52" t="s">
        <v>65</v>
      </c>
      <c r="F6" s="52" t="str">
        <f ca="1">IFERROR(VLOOKUP(F3,INDIRECT($C$2),VLOOKUP(LEFT($C$2,2),$W$1:$Y$2,2),FALSE),"")</f>
        <v>　</v>
      </c>
      <c r="G6" s="52">
        <f ca="1">IFERROR(VLOOKUP(F3,INDIRECT($C$2),VLOOKUP(LEFT($C$2,2),$W$1:$Y$2,2)-9,FALSE),"")</f>
        <v>0</v>
      </c>
      <c r="H6" s="52" t="str">
        <f ca="1">IFERROR(VLOOKUP(H3,INDIRECT($C$2),VLOOKUP(LEFT($C$2,2),$W$1:$Y$2,2),FALSE),"")</f>
        <v>　</v>
      </c>
      <c r="I6" s="52">
        <f ca="1">IFERROR(VLOOKUP(H3,INDIRECT($C$2),VLOOKUP(LEFT($C$2,2),$W$1:$Y$2,2)-9,FALSE),"")</f>
        <v>0</v>
      </c>
      <c r="J6" s="52" t="str">
        <f ca="1">IFERROR(VLOOKUP(J3,INDIRECT($C$2),VLOOKUP(LEFT($C$2,2),$W$1:$Y$2,2),FALSE),"")</f>
        <v>　</v>
      </c>
      <c r="K6" s="52">
        <f ca="1">IFERROR(VLOOKUP(J3,INDIRECT($C$2),VLOOKUP(LEFT($C$2,2),$W$1:$Y$2,2)-9,FALSE),"")</f>
        <v>0</v>
      </c>
      <c r="L6" s="52" t="str">
        <f ca="1">IFERROR(VLOOKUP(L3,INDIRECT($C$2),VLOOKUP(LEFT($C$2,2),$W$1:$Y$2,2),FALSE),"")</f>
        <v>　</v>
      </c>
      <c r="M6" s="52">
        <f ca="1">IFERROR(VLOOKUP(L3,INDIRECT($C$2),VLOOKUP(LEFT($C$2,2),$W$1:$Y$2,2)-9,FALSE),"")</f>
        <v>0</v>
      </c>
      <c r="N6" s="52" t="str">
        <f ca="1">IFERROR(VLOOKUP(N3,INDIRECT($C$2),VLOOKUP(LEFT($C$2,2),$W$1:$Y$2,2),FALSE),"")</f>
        <v>　</v>
      </c>
      <c r="O6" s="52">
        <f ca="1">IFERROR(VLOOKUP(N3,INDIRECT($C$2),VLOOKUP(LEFT($C$2,2),$W$1:$Y$2,2)-9,FALSE),"")</f>
        <v>0</v>
      </c>
      <c r="P6" s="52" t="str">
        <f ca="1">IFERROR(VLOOKUP(P3,INDIRECT($C$2),VLOOKUP(LEFT($C$2,2),$W$1:$Y$2,2),FALSE),"")</f>
        <v>　</v>
      </c>
      <c r="Q6" s="52">
        <f ca="1">IFERROR(VLOOKUP(P3,INDIRECT($C$2),VLOOKUP(LEFT($C$2,2),$W$1:$Y$2,2)-9,FALSE),"")</f>
        <v>0</v>
      </c>
      <c r="R6" s="52" t="str">
        <f ca="1">IFERROR(VLOOKUP(R3,INDIRECT($C$2),VLOOKUP(LEFT($C$2,2),$W$1:$Y$2,2),FALSE),"")</f>
        <v>　</v>
      </c>
      <c r="S6" s="52">
        <f ca="1">IFERROR(VLOOKUP(R3,INDIRECT($C$2),VLOOKUP(LEFT($C$2,2),$W$1:$Y$2,2)-9,FALSE),"")</f>
        <v>0</v>
      </c>
      <c r="T6" s="52" t="str">
        <f ca="1">IFERROR(VLOOKUP(T3,INDIRECT($C$2),VLOOKUP(LEFT($C$2,2),$W$1:$Y$2,2),FALSE),"")</f>
        <v>　</v>
      </c>
      <c r="U6" s="52">
        <f ca="1">IFERROR(VLOOKUP(T3,INDIRECT($C$2),VLOOKUP(LEFT($C$2,2),$W$1:$Y$2,2)-9,FALSE),"")</f>
        <v>0</v>
      </c>
      <c r="V6" s="113">
        <f>Menu!C6</f>
        <v>0</v>
      </c>
      <c r="W6" s="115"/>
      <c r="X6" s="115"/>
      <c r="Y6" s="115"/>
      <c r="Z6" s="116"/>
    </row>
    <row r="7" spans="1:26" x14ac:dyDescent="0.15">
      <c r="A7" s="87"/>
      <c r="B7" s="88"/>
      <c r="C7" s="88"/>
      <c r="D7" s="88"/>
      <c r="E7" s="88"/>
      <c r="F7" s="88"/>
      <c r="G7" s="88"/>
      <c r="H7" s="88"/>
      <c r="I7" s="88"/>
    </row>
    <row r="8" spans="1:26" x14ac:dyDescent="0.15">
      <c r="A8" s="87"/>
      <c r="B8" s="88"/>
      <c r="C8" s="88"/>
      <c r="D8" s="88"/>
      <c r="E8" s="88"/>
      <c r="F8" s="88"/>
      <c r="G8" s="88"/>
      <c r="H8" s="88"/>
      <c r="I8" s="88"/>
    </row>
    <row r="9" spans="1:26" x14ac:dyDescent="0.15">
      <c r="A9" s="87"/>
      <c r="B9" s="88"/>
      <c r="C9" s="88"/>
      <c r="D9" s="88"/>
      <c r="E9" s="88"/>
      <c r="F9" s="88"/>
      <c r="G9" s="88"/>
      <c r="I9" s="88"/>
    </row>
    <row r="10" spans="1:26" ht="28.5" x14ac:dyDescent="0.15">
      <c r="A10" s="94" t="s">
        <v>74</v>
      </c>
      <c r="B10" s="94" t="s">
        <v>70</v>
      </c>
      <c r="C10" s="94" t="s">
        <v>71</v>
      </c>
      <c r="D10" s="94" t="s">
        <v>75</v>
      </c>
      <c r="E10" s="94" t="s">
        <v>76</v>
      </c>
      <c r="F10" s="94" t="s">
        <v>77</v>
      </c>
      <c r="G10" s="95" t="s">
        <v>63</v>
      </c>
      <c r="I10" s="88"/>
    </row>
    <row r="11" spans="1:26" x14ac:dyDescent="0.15">
      <c r="A11" s="70" t="str">
        <f>IF(B11="","",Menu!$C$6)</f>
        <v/>
      </c>
      <c r="B11" s="112" t="str">
        <f>IF($A71="","",VLOOKUP($A71,予処理!$A$2:$H$49,2))</f>
        <v/>
      </c>
      <c r="C11" s="70" t="str">
        <f>IF($A71="","",VLOOKUP($A71,予処理!$A$2:$H$49,5,FALSE))</f>
        <v/>
      </c>
      <c r="D11" s="112" t="str">
        <f>IF($A71="","",VLOOKUP($A71,予処理!$A$2:$H$49,6,FALSE))</f>
        <v/>
      </c>
      <c r="E11" s="112" t="str">
        <f>IF($A71="","",VLOOKUP($A71,予処理!$A$2:$H$49,7,FALSE))</f>
        <v/>
      </c>
      <c r="F11" s="112" t="str">
        <f>IF($A71="","",VLOOKUP($A71,予処理!$A$2:$H$49,8,FALSE))</f>
        <v/>
      </c>
      <c r="G11" s="112" t="str">
        <f>IF($A71="","",VLOOKUP($A71,予処理!$A$2:$H$49,4,FALSE))</f>
        <v/>
      </c>
      <c r="I11" s="88"/>
    </row>
    <row r="12" spans="1:26" x14ac:dyDescent="0.15">
      <c r="A12" s="70" t="str">
        <f>IF(B12="","",Menu!$C$6)</f>
        <v/>
      </c>
      <c r="B12" s="112" t="str">
        <f>IF($A72="","",VLOOKUP($A72,予処理!$A$2:$H$49,2))</f>
        <v/>
      </c>
      <c r="C12" s="70" t="str">
        <f>IF($A72="","",VLOOKUP($A72,予処理!$A$2:$H$49,5,FALSE))</f>
        <v/>
      </c>
      <c r="D12" s="112" t="str">
        <f>IF($A72="","",VLOOKUP($A72,予処理!$A$2:$H$49,6,FALSE))</f>
        <v/>
      </c>
      <c r="E12" s="112" t="str">
        <f>IF($A72="","",VLOOKUP($A72,予処理!$A$2:$H$49,7,FALSE))</f>
        <v/>
      </c>
      <c r="F12" s="112" t="str">
        <f>IF($A72="","",VLOOKUP($A72,予処理!$A$2:$H$49,8,FALSE))</f>
        <v/>
      </c>
      <c r="G12" s="112" t="str">
        <f>IF($A72="","",VLOOKUP($A72,予処理!$A$2:$H$49,4,FALSE))</f>
        <v/>
      </c>
      <c r="I12" s="88"/>
    </row>
    <row r="13" spans="1:26" x14ac:dyDescent="0.15">
      <c r="A13" s="70" t="str">
        <f>IF(B13="","",Menu!$C$6)</f>
        <v/>
      </c>
      <c r="B13" s="112" t="str">
        <f>IF($A73="","",VLOOKUP($A73,予処理!$A$2:$H$49,2))</f>
        <v/>
      </c>
      <c r="C13" s="70" t="str">
        <f>IF($A73="","",VLOOKUP($A73,予処理!$A$2:$H$49,5,FALSE))</f>
        <v/>
      </c>
      <c r="D13" s="112" t="str">
        <f>IF($A73="","",VLOOKUP($A73,予処理!$A$2:$H$49,6,FALSE))</f>
        <v/>
      </c>
      <c r="E13" s="112" t="str">
        <f>IF($A73="","",VLOOKUP($A73,予処理!$A$2:$H$49,7,FALSE))</f>
        <v/>
      </c>
      <c r="F13" s="112" t="str">
        <f>IF($A73="","",VLOOKUP($A73,予処理!$A$2:$H$49,8,FALSE))</f>
        <v/>
      </c>
      <c r="G13" s="112" t="str">
        <f>IF($A73="","",VLOOKUP($A73,予処理!$A$2:$H$49,4,FALSE))</f>
        <v/>
      </c>
      <c r="I13" s="88"/>
    </row>
    <row r="14" spans="1:26" x14ac:dyDescent="0.15">
      <c r="A14" s="70" t="str">
        <f>IF(B14="","",Menu!$C$6)</f>
        <v/>
      </c>
      <c r="B14" s="112" t="str">
        <f>IF($A74="","",VLOOKUP($A74,予処理!$A$2:$H$49,2))</f>
        <v/>
      </c>
      <c r="C14" s="70" t="str">
        <f>IF($A74="","",VLOOKUP($A74,予処理!$A$2:$H$49,5,FALSE))</f>
        <v/>
      </c>
      <c r="D14" s="112" t="str">
        <f>IF($A74="","",VLOOKUP($A74,予処理!$A$2:$H$49,6,FALSE))</f>
        <v/>
      </c>
      <c r="E14" s="112" t="str">
        <f>IF($A74="","",VLOOKUP($A74,予処理!$A$2:$H$49,7,FALSE))</f>
        <v/>
      </c>
      <c r="F14" s="112" t="str">
        <f>IF($A74="","",VLOOKUP($A74,予処理!$A$2:$H$49,8,FALSE))</f>
        <v/>
      </c>
      <c r="G14" s="112" t="str">
        <f>IF($A74="","",VLOOKUP($A74,予処理!$A$2:$H$49,4,FALSE))</f>
        <v/>
      </c>
      <c r="I14" s="88"/>
    </row>
    <row r="15" spans="1:26" x14ac:dyDescent="0.15">
      <c r="A15" s="70" t="str">
        <f>IF(B15="","",Menu!$C$6)</f>
        <v/>
      </c>
      <c r="B15" s="112" t="str">
        <f>IF($A75="","",VLOOKUP($A75,予処理!$A$2:$H$49,2))</f>
        <v/>
      </c>
      <c r="C15" s="70" t="str">
        <f>IF($A75="","",VLOOKUP($A75,予処理!$A$2:$H$49,5,FALSE))</f>
        <v/>
      </c>
      <c r="D15" s="112" t="str">
        <f>IF($A75="","",VLOOKUP($A75,予処理!$A$2:$H$49,6,FALSE))</f>
        <v/>
      </c>
      <c r="E15" s="112" t="str">
        <f>IF($A75="","",VLOOKUP($A75,予処理!$A$2:$H$49,7,FALSE))</f>
        <v/>
      </c>
      <c r="F15" s="112" t="str">
        <f>IF($A75="","",VLOOKUP($A75,予処理!$A$2:$H$49,8,FALSE))</f>
        <v/>
      </c>
      <c r="G15" s="112" t="str">
        <f>IF($A75="","",VLOOKUP($A75,予処理!$A$2:$H$49,4,FALSE))</f>
        <v/>
      </c>
      <c r="I15" s="88"/>
    </row>
    <row r="16" spans="1:26" x14ac:dyDescent="0.15">
      <c r="A16" s="70" t="str">
        <f>IF(B16="","",Menu!$C$6)</f>
        <v/>
      </c>
      <c r="B16" s="112" t="str">
        <f>IF($A76="","",VLOOKUP($A76,予処理!$A$2:$H$49,2))</f>
        <v/>
      </c>
      <c r="C16" s="70" t="str">
        <f>IF($A76="","",VLOOKUP($A76,予処理!$A$2:$H$49,5,FALSE))</f>
        <v/>
      </c>
      <c r="D16" s="112" t="str">
        <f>IF($A76="","",VLOOKUP($A76,予処理!$A$2:$H$49,6,FALSE))</f>
        <v/>
      </c>
      <c r="E16" s="112" t="str">
        <f>IF($A76="","",VLOOKUP($A76,予処理!$A$2:$H$49,7,FALSE))</f>
        <v/>
      </c>
      <c r="F16" s="112" t="str">
        <f>IF($A76="","",VLOOKUP($A76,予処理!$A$2:$H$49,8,FALSE))</f>
        <v/>
      </c>
      <c r="G16" s="112" t="str">
        <f>IF($A76="","",VLOOKUP($A76,予処理!$A$2:$H$49,4,FALSE))</f>
        <v/>
      </c>
      <c r="I16" s="88"/>
    </row>
    <row r="17" spans="1:16" x14ac:dyDescent="0.15">
      <c r="A17" s="70" t="str">
        <f>IF(B17="","",Menu!$C$6)</f>
        <v/>
      </c>
      <c r="B17" s="112" t="str">
        <f>IF($A77="","",VLOOKUP($A77,予処理!$A$2:$H$49,2))</f>
        <v/>
      </c>
      <c r="C17" s="70" t="str">
        <f>IF($A77="","",VLOOKUP($A77,予処理!$A$2:$H$49,5,FALSE))</f>
        <v/>
      </c>
      <c r="D17" s="112" t="str">
        <f>IF($A77="","",VLOOKUP($A77,予処理!$A$2:$H$49,6,FALSE))</f>
        <v/>
      </c>
      <c r="E17" s="112" t="str">
        <f>IF($A77="","",VLOOKUP($A77,予処理!$A$2:$H$49,7,FALSE))</f>
        <v/>
      </c>
      <c r="F17" s="112" t="str">
        <f>IF($A77="","",VLOOKUP($A77,予処理!$A$2:$H$49,8,FALSE))</f>
        <v/>
      </c>
      <c r="G17" s="112" t="str">
        <f>IF($A77="","",VLOOKUP($A77,予処理!$A$2:$H$49,4,FALSE))</f>
        <v/>
      </c>
      <c r="I17" s="88"/>
    </row>
    <row r="18" spans="1:16" x14ac:dyDescent="0.15">
      <c r="A18" s="70" t="str">
        <f>IF(B18="","",Menu!$C$6)</f>
        <v/>
      </c>
      <c r="B18" s="112" t="str">
        <f>IF($A78="","",VLOOKUP($A78,予処理!$A$2:$H$49,2))</f>
        <v/>
      </c>
      <c r="C18" s="70" t="str">
        <f>IF($A78="","",VLOOKUP($A78,予処理!$A$2:$H$49,5,FALSE))</f>
        <v/>
      </c>
      <c r="D18" s="112" t="str">
        <f>IF($A78="","",VLOOKUP($A78,予処理!$A$2:$H$49,6,FALSE))</f>
        <v/>
      </c>
      <c r="E18" s="112" t="str">
        <f>IF($A78="","",VLOOKUP($A78,予処理!$A$2:$H$49,7,FALSE))</f>
        <v/>
      </c>
      <c r="F18" s="112" t="str">
        <f>IF($A78="","",VLOOKUP($A78,予処理!$A$2:$H$49,8,FALSE))</f>
        <v/>
      </c>
      <c r="G18" s="112" t="str">
        <f>IF($A78="","",VLOOKUP($A78,予処理!$A$2:$H$49,4,FALSE))</f>
        <v/>
      </c>
      <c r="I18" s="88"/>
    </row>
    <row r="19" spans="1:16" x14ac:dyDescent="0.15">
      <c r="A19" s="70" t="str">
        <f>IF(B19="","",Menu!$C$6)</f>
        <v/>
      </c>
      <c r="B19" s="112" t="str">
        <f>IF($A79="","",VLOOKUP($A79,予処理!$A$2:$H$49,2))</f>
        <v/>
      </c>
      <c r="C19" s="70" t="str">
        <f>IF($A79="","",VLOOKUP($A79,予処理!$A$2:$H$49,5,FALSE))</f>
        <v/>
      </c>
      <c r="D19" s="112" t="str">
        <f>IF($A79="","",VLOOKUP($A79,予処理!$A$2:$H$49,6,FALSE))</f>
        <v/>
      </c>
      <c r="E19" s="112" t="str">
        <f>IF($A79="","",VLOOKUP($A79,予処理!$A$2:$H$49,7,FALSE))</f>
        <v/>
      </c>
      <c r="F19" s="112" t="str">
        <f>IF($A79="","",VLOOKUP($A79,予処理!$A$2:$H$49,8,FALSE))</f>
        <v/>
      </c>
      <c r="G19" s="112" t="str">
        <f>IF($A79="","",VLOOKUP($A79,予処理!$A$2:$H$49,4,FALSE))</f>
        <v/>
      </c>
      <c r="I19" s="88"/>
    </row>
    <row r="20" spans="1:16" x14ac:dyDescent="0.15">
      <c r="A20" s="70" t="str">
        <f>IF(B20="","",Menu!$C$6)</f>
        <v/>
      </c>
      <c r="B20" s="112" t="str">
        <f>IF($A80="","",VLOOKUP($A80,予処理!$A$2:$H$49,2))</f>
        <v/>
      </c>
      <c r="C20" s="70" t="str">
        <f>IF($A80="","",VLOOKUP($A80,予処理!$A$2:$H$49,5,FALSE))</f>
        <v/>
      </c>
      <c r="D20" s="112" t="str">
        <f>IF($A80="","",VLOOKUP($A80,予処理!$A$2:$H$49,6,FALSE))</f>
        <v/>
      </c>
      <c r="E20" s="112" t="str">
        <f>IF($A80="","",VLOOKUP($A80,予処理!$A$2:$H$49,7,FALSE))</f>
        <v/>
      </c>
      <c r="F20" s="112" t="str">
        <f>IF($A80="","",VLOOKUP($A80,予処理!$A$2:$H$49,8,FALSE))</f>
        <v/>
      </c>
      <c r="G20" s="112" t="str">
        <f>IF($A80="","",VLOOKUP($A80,予処理!$A$2:$H$49,4,FALSE))</f>
        <v/>
      </c>
      <c r="I20" s="88"/>
      <c r="J20" s="87"/>
      <c r="K20" s="87"/>
      <c r="L20" s="87"/>
      <c r="M20" s="87"/>
      <c r="N20" s="87"/>
      <c r="O20" s="87"/>
      <c r="P20" s="87"/>
    </row>
    <row r="21" spans="1:16" x14ac:dyDescent="0.15">
      <c r="A21" s="70" t="str">
        <f>IF(B21="","",Menu!$C$6)</f>
        <v/>
      </c>
      <c r="B21" s="112" t="str">
        <f>IF($A81="","",VLOOKUP($A81,予処理!$A$2:$H$49,2))</f>
        <v/>
      </c>
      <c r="C21" s="70" t="str">
        <f>IF($A81="","",VLOOKUP($A81,予処理!$A$2:$H$49,5,FALSE))</f>
        <v/>
      </c>
      <c r="D21" s="112" t="str">
        <f>IF($A81="","",VLOOKUP($A81,予処理!$A$2:$H$49,6,FALSE))</f>
        <v/>
      </c>
      <c r="E21" s="112" t="str">
        <f>IF($A81="","",VLOOKUP($A81,予処理!$A$2:$H$49,7,FALSE))</f>
        <v/>
      </c>
      <c r="F21" s="112" t="str">
        <f>IF($A81="","",VLOOKUP($A81,予処理!$A$2:$H$49,8,FALSE))</f>
        <v/>
      </c>
      <c r="G21" s="112" t="str">
        <f>IF($A81="","",VLOOKUP($A81,予処理!$A$2:$H$49,4,FALSE))</f>
        <v/>
      </c>
      <c r="I21" s="88"/>
      <c r="J21" s="87"/>
      <c r="K21" s="87"/>
      <c r="L21" s="87"/>
      <c r="M21" s="87"/>
      <c r="N21" s="87"/>
      <c r="O21" s="87"/>
      <c r="P21" s="87"/>
    </row>
    <row r="22" spans="1:16" x14ac:dyDescent="0.15">
      <c r="A22" s="70" t="str">
        <f>IF(B22="","",Menu!$C$6)</f>
        <v/>
      </c>
      <c r="B22" s="112" t="str">
        <f>IF($A82="","",VLOOKUP($A82,予処理!$A$2:$H$49,2))</f>
        <v/>
      </c>
      <c r="C22" s="70" t="str">
        <f>IF($A82="","",VLOOKUP($A82,予処理!$A$2:$H$49,5,FALSE))</f>
        <v/>
      </c>
      <c r="D22" s="112" t="str">
        <f>IF($A82="","",VLOOKUP($A82,予処理!$A$2:$H$49,6,FALSE))</f>
        <v/>
      </c>
      <c r="E22" s="112" t="str">
        <f>IF($A82="","",VLOOKUP($A82,予処理!$A$2:$H$49,7,FALSE))</f>
        <v/>
      </c>
      <c r="F22" s="112" t="str">
        <f>IF($A82="","",VLOOKUP($A82,予処理!$A$2:$H$49,8,FALSE))</f>
        <v/>
      </c>
      <c r="G22" s="112" t="str">
        <f>IF($A82="","",VLOOKUP($A82,予処理!$A$2:$H$49,4,FALSE))</f>
        <v/>
      </c>
      <c r="I22" s="88"/>
      <c r="J22" s="87"/>
      <c r="K22" s="87"/>
      <c r="L22" s="87"/>
      <c r="M22" s="87"/>
      <c r="N22" s="87"/>
      <c r="O22" s="87"/>
      <c r="P22" s="87"/>
    </row>
    <row r="23" spans="1:16" x14ac:dyDescent="0.15">
      <c r="A23" s="70" t="str">
        <f>IF(B23="","",Menu!$C$6)</f>
        <v/>
      </c>
      <c r="B23" s="112" t="str">
        <f>IF($A83="","",VLOOKUP($A83,予処理!$A$2:$H$49,2))</f>
        <v/>
      </c>
      <c r="C23" s="70" t="str">
        <f>IF($A83="","",VLOOKUP($A83,予処理!$A$2:$H$49,5,FALSE))</f>
        <v/>
      </c>
      <c r="D23" s="112" t="str">
        <f>IF($A83="","",VLOOKUP($A83,予処理!$A$2:$H$49,6,FALSE))</f>
        <v/>
      </c>
      <c r="E23" s="112" t="str">
        <f>IF($A83="","",VLOOKUP($A83,予処理!$A$2:$H$49,7,FALSE))</f>
        <v/>
      </c>
      <c r="F23" s="112" t="str">
        <f>IF($A83="","",VLOOKUP($A83,予処理!$A$2:$H$49,8,FALSE))</f>
        <v/>
      </c>
      <c r="G23" s="112" t="str">
        <f>IF($A83="","",VLOOKUP($A83,予処理!$A$2:$H$49,4,FALSE))</f>
        <v/>
      </c>
      <c r="J23" s="87"/>
      <c r="K23" s="87"/>
      <c r="L23" s="87"/>
      <c r="M23" s="87"/>
      <c r="N23" s="87"/>
      <c r="O23" s="87"/>
      <c r="P23" s="87"/>
    </row>
    <row r="24" spans="1:16" x14ac:dyDescent="0.15">
      <c r="A24" s="70" t="str">
        <f>IF(B24="","",Menu!$C$6)</f>
        <v/>
      </c>
      <c r="B24" s="112" t="str">
        <f>IF($A84="","",VLOOKUP($A84,予処理!$A$2:$H$49,2))</f>
        <v/>
      </c>
      <c r="C24" s="70" t="str">
        <f>IF($A84="","",VLOOKUP($A84,予処理!$A$2:$H$49,5,FALSE))</f>
        <v/>
      </c>
      <c r="D24" s="112" t="str">
        <f>IF($A84="","",VLOOKUP($A84,予処理!$A$2:$H$49,6,FALSE))</f>
        <v/>
      </c>
      <c r="E24" s="112" t="str">
        <f>IF($A84="","",VLOOKUP($A84,予処理!$A$2:$H$49,7,FALSE))</f>
        <v/>
      </c>
      <c r="F24" s="112" t="str">
        <f>IF($A84="","",VLOOKUP($A84,予処理!$A$2:$H$49,8,FALSE))</f>
        <v/>
      </c>
      <c r="G24" s="112" t="str">
        <f>IF($A84="","",VLOOKUP($A84,予処理!$A$2:$H$49,4,FALSE))</f>
        <v/>
      </c>
      <c r="J24" s="87"/>
      <c r="K24" s="87"/>
      <c r="L24" s="87"/>
      <c r="M24" s="87"/>
      <c r="N24" s="87"/>
      <c r="O24" s="87"/>
      <c r="P24" s="87"/>
    </row>
    <row r="25" spans="1:16" x14ac:dyDescent="0.15">
      <c r="A25" s="70" t="str">
        <f>IF(B25="","",Menu!$C$6)</f>
        <v/>
      </c>
      <c r="B25" s="112" t="str">
        <f>IF($A85="","",VLOOKUP($A85,予処理!$A$2:$H$49,2))</f>
        <v/>
      </c>
      <c r="C25" s="70" t="str">
        <f>IF($A85="","",VLOOKUP($A85,予処理!$A$2:$H$49,5,FALSE))</f>
        <v/>
      </c>
      <c r="D25" s="112" t="str">
        <f>IF($A85="","",VLOOKUP($A85,予処理!$A$2:$H$49,6,FALSE))</f>
        <v/>
      </c>
      <c r="E25" s="112" t="str">
        <f>IF($A85="","",VLOOKUP($A85,予処理!$A$2:$H$49,7,FALSE))</f>
        <v/>
      </c>
      <c r="F25" s="112" t="str">
        <f>IF($A85="","",VLOOKUP($A85,予処理!$A$2:$H$49,8,FALSE))</f>
        <v/>
      </c>
      <c r="G25" s="112" t="str">
        <f>IF($A85="","",VLOOKUP($A85,予処理!$A$2:$H$49,4,FALSE))</f>
        <v/>
      </c>
      <c r="J25" s="87"/>
      <c r="K25" s="87"/>
      <c r="L25" s="87"/>
      <c r="M25" s="87"/>
      <c r="N25" s="87"/>
      <c r="O25" s="87"/>
      <c r="P25" s="87"/>
    </row>
    <row r="26" spans="1:16" x14ac:dyDescent="0.15">
      <c r="A26" s="70" t="str">
        <f>IF(B26="","",Menu!$C$6)</f>
        <v/>
      </c>
      <c r="B26" s="112" t="str">
        <f>IF($A86="","",VLOOKUP($A86,予処理!$A$2:$H$49,2))</f>
        <v/>
      </c>
      <c r="C26" s="70" t="str">
        <f>IF($A86="","",VLOOKUP($A86,予処理!$A$2:$H$49,5,FALSE))</f>
        <v/>
      </c>
      <c r="D26" s="112" t="str">
        <f>IF($A86="","",VLOOKUP($A86,予処理!$A$2:$H$49,6,FALSE))</f>
        <v/>
      </c>
      <c r="E26" s="112" t="str">
        <f>IF($A86="","",VLOOKUP($A86,予処理!$A$2:$H$49,7,FALSE))</f>
        <v/>
      </c>
      <c r="F26" s="112" t="str">
        <f>IF($A86="","",VLOOKUP($A86,予処理!$A$2:$H$49,8,FALSE))</f>
        <v/>
      </c>
      <c r="G26" s="112" t="str">
        <f>IF($A86="","",VLOOKUP($A86,予処理!$A$2:$H$49,4,FALSE))</f>
        <v/>
      </c>
      <c r="J26" s="87"/>
      <c r="K26" s="87"/>
      <c r="L26" s="87"/>
      <c r="M26" s="87"/>
      <c r="N26" s="87"/>
      <c r="O26" s="87"/>
      <c r="P26" s="87"/>
    </row>
    <row r="27" spans="1:16" x14ac:dyDescent="0.15">
      <c r="A27" s="70" t="str">
        <f>IF(B27="","",Menu!$C$6)</f>
        <v/>
      </c>
      <c r="B27" s="112" t="str">
        <f>IF($A87="","",VLOOKUP($A87,予処理!$A$2:$H$49,2))</f>
        <v/>
      </c>
      <c r="C27" s="70" t="str">
        <f>IF($A87="","",VLOOKUP($A87,予処理!$A$2:$H$49,5,FALSE))</f>
        <v/>
      </c>
      <c r="D27" s="112" t="str">
        <f>IF($A87="","",VLOOKUP($A87,予処理!$A$2:$H$49,6,FALSE))</f>
        <v/>
      </c>
      <c r="E27" s="112" t="str">
        <f>IF($A87="","",VLOOKUP($A87,予処理!$A$2:$H$49,7,FALSE))</f>
        <v/>
      </c>
      <c r="F27" s="112" t="str">
        <f>IF($A87="","",VLOOKUP($A87,予処理!$A$2:$H$49,8,FALSE))</f>
        <v/>
      </c>
      <c r="G27" s="112" t="str">
        <f>IF($A87="","",VLOOKUP($A87,予処理!$A$2:$H$49,4,FALSE))</f>
        <v/>
      </c>
      <c r="J27" s="87"/>
      <c r="K27" s="87"/>
      <c r="L27" s="87"/>
      <c r="M27" s="87"/>
      <c r="N27" s="87"/>
      <c r="O27" s="87"/>
      <c r="P27" s="87"/>
    </row>
    <row r="28" spans="1:16" x14ac:dyDescent="0.15">
      <c r="A28" s="70" t="str">
        <f>IF(B28="","",Menu!$C$6)</f>
        <v/>
      </c>
      <c r="B28" s="112" t="str">
        <f>IF($A88="","",VLOOKUP($A88,予処理!$A$2:$H$49,2))</f>
        <v/>
      </c>
      <c r="C28" s="70" t="str">
        <f>IF($A88="","",VLOOKUP($A88,予処理!$A$2:$H$49,5,FALSE))</f>
        <v/>
      </c>
      <c r="D28" s="112" t="str">
        <f>IF($A88="","",VLOOKUP($A88,予処理!$A$2:$H$49,6,FALSE))</f>
        <v/>
      </c>
      <c r="E28" s="112" t="str">
        <f>IF($A88="","",VLOOKUP($A88,予処理!$A$2:$H$49,7,FALSE))</f>
        <v/>
      </c>
      <c r="F28" s="112" t="str">
        <f>IF($A88="","",VLOOKUP($A88,予処理!$A$2:$H$49,8,FALSE))</f>
        <v/>
      </c>
      <c r="G28" s="112" t="str">
        <f>IF($A88="","",VLOOKUP($A88,予処理!$A$2:$H$49,4,FALSE))</f>
        <v/>
      </c>
      <c r="J28" s="87"/>
      <c r="K28" s="87"/>
      <c r="L28" s="87"/>
      <c r="M28" s="87"/>
      <c r="N28" s="87"/>
      <c r="O28" s="87"/>
      <c r="P28" s="87"/>
    </row>
    <row r="29" spans="1:16" x14ac:dyDescent="0.15">
      <c r="A29" s="70" t="str">
        <f>IF(B29="","",Menu!$C$6)</f>
        <v/>
      </c>
      <c r="B29" s="112" t="str">
        <f>IF($A89="","",VLOOKUP($A89,予処理!$A$2:$H$49,2))</f>
        <v/>
      </c>
      <c r="C29" s="70" t="str">
        <f>IF($A89="","",VLOOKUP($A89,予処理!$A$2:$H$49,5,FALSE))</f>
        <v/>
      </c>
      <c r="D29" s="112" t="str">
        <f>IF($A89="","",VLOOKUP($A89,予処理!$A$2:$H$49,6,FALSE))</f>
        <v/>
      </c>
      <c r="E29" s="112" t="str">
        <f>IF($A89="","",VLOOKUP($A89,予処理!$A$2:$H$49,7,FALSE))</f>
        <v/>
      </c>
      <c r="F29" s="112" t="str">
        <f>IF($A89="","",VLOOKUP($A89,予処理!$A$2:$H$49,8,FALSE))</f>
        <v/>
      </c>
      <c r="G29" s="112" t="str">
        <f>IF($A89="","",VLOOKUP($A89,予処理!$A$2:$H$49,4,FALSE))</f>
        <v/>
      </c>
      <c r="J29" s="87"/>
      <c r="K29" s="87"/>
      <c r="L29" s="87"/>
      <c r="M29" s="87"/>
      <c r="N29" s="87"/>
      <c r="O29" s="87"/>
      <c r="P29" s="87"/>
    </row>
    <row r="30" spans="1:16" x14ac:dyDescent="0.15">
      <c r="A30" s="70" t="str">
        <f>IF(B30="","",Menu!$C$6)</f>
        <v/>
      </c>
      <c r="B30" s="112" t="str">
        <f>IF($A90="","",VLOOKUP($A90,予処理!$A$2:$H$49,2))</f>
        <v/>
      </c>
      <c r="C30" s="70" t="str">
        <f>IF($A90="","",VLOOKUP($A90,予処理!$A$2:$H$49,5,FALSE))</f>
        <v/>
      </c>
      <c r="D30" s="112" t="str">
        <f>IF($A90="","",VLOOKUP($A90,予処理!$A$2:$H$49,6,FALSE))</f>
        <v/>
      </c>
      <c r="E30" s="112" t="str">
        <f>IF($A90="","",VLOOKUP($A90,予処理!$A$2:$H$49,7,FALSE))</f>
        <v/>
      </c>
      <c r="F30" s="112" t="str">
        <f>IF($A90="","",VLOOKUP($A90,予処理!$A$2:$H$49,8,FALSE))</f>
        <v/>
      </c>
      <c r="G30" s="112" t="str">
        <f>IF($A90="","",VLOOKUP($A90,予処理!$A$2:$H$49,4,FALSE))</f>
        <v/>
      </c>
      <c r="J30" s="87"/>
      <c r="K30" s="87"/>
      <c r="L30" s="87"/>
      <c r="M30" s="87"/>
      <c r="N30" s="87"/>
      <c r="O30" s="87"/>
      <c r="P30" s="87"/>
    </row>
    <row r="31" spans="1:16" x14ac:dyDescent="0.15">
      <c r="A31" s="70" t="str">
        <f>IF(B31="","",Menu!$C$6)</f>
        <v/>
      </c>
      <c r="B31" s="112" t="str">
        <f>IF($A91="","",VLOOKUP($A91,予処理!$A$2:$H$49,2))</f>
        <v/>
      </c>
      <c r="C31" s="70" t="str">
        <f>IF($A91="","",VLOOKUP($A91,予処理!$A$2:$H$49,5,FALSE))</f>
        <v/>
      </c>
      <c r="D31" s="112" t="str">
        <f>IF($A91="","",VLOOKUP($A91,予処理!$A$2:$H$49,6,FALSE))</f>
        <v/>
      </c>
      <c r="E31" s="112" t="str">
        <f>IF($A91="","",VLOOKUP($A91,予処理!$A$2:$H$49,7,FALSE))</f>
        <v/>
      </c>
      <c r="F31" s="112" t="str">
        <f>IF($A91="","",VLOOKUP($A91,予処理!$A$2:$H$49,8,FALSE))</f>
        <v/>
      </c>
      <c r="G31" s="112" t="str">
        <f>IF($A91="","",VLOOKUP($A91,予処理!$A$2:$H$49,4,FALSE))</f>
        <v/>
      </c>
      <c r="J31" s="87"/>
      <c r="K31" s="87"/>
      <c r="L31" s="87"/>
      <c r="M31" s="87"/>
      <c r="N31" s="87"/>
      <c r="O31" s="87"/>
      <c r="P31" s="87"/>
    </row>
    <row r="32" spans="1:16" x14ac:dyDescent="0.15">
      <c r="A32" s="70" t="str">
        <f>IF(B32="","",Menu!$C$6)</f>
        <v/>
      </c>
      <c r="B32" s="112" t="str">
        <f>IF($A92="","",VLOOKUP($A92,予処理!$A$2:$H$49,2))</f>
        <v/>
      </c>
      <c r="C32" s="70" t="str">
        <f>IF($A92="","",VLOOKUP($A92,予処理!$A$2:$H$49,5,FALSE))</f>
        <v/>
      </c>
      <c r="D32" s="112" t="str">
        <f>IF($A92="","",VLOOKUP($A92,予処理!$A$2:$H$49,6,FALSE))</f>
        <v/>
      </c>
      <c r="E32" s="112" t="str">
        <f>IF($A92="","",VLOOKUP($A92,予処理!$A$2:$H$49,7,FALSE))</f>
        <v/>
      </c>
      <c r="F32" s="112" t="str">
        <f>IF($A92="","",VLOOKUP($A92,予処理!$A$2:$H$49,8,FALSE))</f>
        <v/>
      </c>
      <c r="G32" s="112" t="str">
        <f>IF($A92="","",VLOOKUP($A92,予処理!$A$2:$H$49,4,FALSE))</f>
        <v/>
      </c>
      <c r="J32" s="87"/>
      <c r="K32" s="87"/>
      <c r="L32" s="87"/>
      <c r="M32" s="87"/>
      <c r="N32" s="87"/>
      <c r="O32" s="87"/>
      <c r="P32" s="87"/>
    </row>
    <row r="33" spans="1:16" x14ac:dyDescent="0.15">
      <c r="A33" s="70" t="str">
        <f>IF(B33="","",Menu!$C$6)</f>
        <v/>
      </c>
      <c r="B33" s="112" t="str">
        <f>IF($A93="","",VLOOKUP($A93,予処理!$A$2:$H$49,2))</f>
        <v/>
      </c>
      <c r="C33" s="70" t="str">
        <f>IF($A93="","",VLOOKUP($A93,予処理!$A$2:$H$49,5,FALSE))</f>
        <v/>
      </c>
      <c r="D33" s="112" t="str">
        <f>IF($A93="","",VLOOKUP($A93,予処理!$A$2:$H$49,6,FALSE))</f>
        <v/>
      </c>
      <c r="E33" s="112" t="str">
        <f>IF($A93="","",VLOOKUP($A93,予処理!$A$2:$H$49,7,FALSE))</f>
        <v/>
      </c>
      <c r="F33" s="112" t="str">
        <f>IF($A93="","",VLOOKUP($A93,予処理!$A$2:$H$49,8,FALSE))</f>
        <v/>
      </c>
      <c r="G33" s="112" t="str">
        <f>IF($A93="","",VLOOKUP($A93,予処理!$A$2:$H$49,4,FALSE))</f>
        <v/>
      </c>
      <c r="J33" s="87"/>
      <c r="K33" s="87"/>
      <c r="L33" s="87"/>
      <c r="M33" s="87"/>
      <c r="N33" s="87"/>
      <c r="O33" s="87"/>
      <c r="P33" s="87"/>
    </row>
    <row r="34" spans="1:16" x14ac:dyDescent="0.15">
      <c r="A34" s="70" t="str">
        <f>IF(B34="","",Menu!$C$6)</f>
        <v/>
      </c>
      <c r="B34" s="112" t="str">
        <f>IF($A94="","",VLOOKUP($A94,予処理!$A$2:$H$49,2))</f>
        <v/>
      </c>
      <c r="C34" s="70" t="str">
        <f>IF($A94="","",VLOOKUP($A94,予処理!$A$2:$H$49,5,FALSE))</f>
        <v/>
      </c>
      <c r="D34" s="112" t="str">
        <f>IF($A94="","",VLOOKUP($A94,予処理!$A$2:$H$49,6,FALSE))</f>
        <v/>
      </c>
      <c r="E34" s="112" t="str">
        <f>IF($A94="","",VLOOKUP($A94,予処理!$A$2:$H$49,7,FALSE))</f>
        <v/>
      </c>
      <c r="F34" s="112" t="str">
        <f>IF($A94="","",VLOOKUP($A94,予処理!$A$2:$H$49,8,FALSE))</f>
        <v/>
      </c>
      <c r="G34" s="112" t="str">
        <f>IF($A94="","",VLOOKUP($A94,予処理!$A$2:$H$49,4,FALSE))</f>
        <v/>
      </c>
      <c r="J34" s="87"/>
      <c r="K34" s="87"/>
      <c r="L34" s="87"/>
      <c r="M34" s="87"/>
      <c r="N34" s="87"/>
      <c r="O34" s="87"/>
      <c r="P34" s="87"/>
    </row>
    <row r="35" spans="1:16" x14ac:dyDescent="0.15">
      <c r="A35" s="70" t="str">
        <f>IF(B35="","",Menu!$C$6)</f>
        <v/>
      </c>
      <c r="B35" s="112" t="str">
        <f>IF($A95="","",VLOOKUP($A95,予処理!$A$2:$H$49,2))</f>
        <v/>
      </c>
      <c r="C35" s="70" t="str">
        <f>IF($A95="","",VLOOKUP($A95,予処理!$A$2:$H$49,5,FALSE))</f>
        <v/>
      </c>
      <c r="D35" s="112" t="str">
        <f>IF($A95="","",VLOOKUP($A95,予処理!$A$2:$H$49,6,FALSE))</f>
        <v/>
      </c>
      <c r="E35" s="112" t="str">
        <f>IF($A95="","",VLOOKUP($A95,予処理!$A$2:$H$49,7,FALSE))</f>
        <v/>
      </c>
      <c r="F35" s="112" t="str">
        <f>IF($A95="","",VLOOKUP($A95,予処理!$A$2:$H$49,8,FALSE))</f>
        <v/>
      </c>
      <c r="G35" s="112" t="str">
        <f>IF($A95="","",VLOOKUP($A95,予処理!$A$2:$H$49,4,FALSE))</f>
        <v/>
      </c>
      <c r="J35" s="87"/>
      <c r="K35" s="87"/>
      <c r="L35" s="87"/>
      <c r="M35" s="87"/>
      <c r="N35" s="87"/>
      <c r="O35" s="87"/>
      <c r="P35" s="87"/>
    </row>
    <row r="36" spans="1:16" x14ac:dyDescent="0.15">
      <c r="A36" s="70" t="str">
        <f>IF(B36="","",Menu!$C$6)</f>
        <v/>
      </c>
      <c r="B36" s="112" t="str">
        <f>IF($A96="","",VLOOKUP($A96,予処理!$A$2:$H$49,2))</f>
        <v/>
      </c>
      <c r="C36" s="70" t="str">
        <f>IF($A96="","",VLOOKUP($A96,予処理!$A$2:$H$49,5,FALSE))</f>
        <v/>
      </c>
      <c r="D36" s="112" t="str">
        <f>IF($A96="","",VLOOKUP($A96,予処理!$A$2:$H$49,6,FALSE))</f>
        <v/>
      </c>
      <c r="E36" s="112" t="str">
        <f>IF($A96="","",VLOOKUP($A96,予処理!$A$2:$H$49,7,FALSE))</f>
        <v/>
      </c>
      <c r="F36" s="112" t="str">
        <f>IF($A96="","",VLOOKUP($A96,予処理!$A$2:$H$49,8,FALSE))</f>
        <v/>
      </c>
      <c r="G36" s="112" t="str">
        <f>IF($A96="","",VLOOKUP($A96,予処理!$A$2:$H$49,4,FALSE))</f>
        <v/>
      </c>
      <c r="J36" s="87"/>
      <c r="K36" s="87"/>
      <c r="L36" s="87"/>
      <c r="M36" s="87"/>
      <c r="N36" s="87"/>
      <c r="O36" s="87"/>
      <c r="P36" s="87"/>
    </row>
    <row r="37" spans="1:16" x14ac:dyDescent="0.15">
      <c r="A37" s="70" t="str">
        <f>IF(B37="","",Menu!$C$6)</f>
        <v/>
      </c>
      <c r="B37" s="112" t="str">
        <f>IF($A97="","",VLOOKUP($A97,予処理!$A$2:$H$49,2))</f>
        <v/>
      </c>
      <c r="C37" s="70" t="str">
        <f>IF($A97="","",VLOOKUP($A97,予処理!$A$2:$H$49,5,FALSE))</f>
        <v/>
      </c>
      <c r="D37" s="112" t="str">
        <f>IF($A97="","",VLOOKUP($A97,予処理!$A$2:$H$49,6,FALSE))</f>
        <v/>
      </c>
      <c r="E37" s="112" t="str">
        <f>IF($A97="","",VLOOKUP($A97,予処理!$A$2:$H$49,7,FALSE))</f>
        <v/>
      </c>
      <c r="F37" s="112" t="str">
        <f>IF($A97="","",VLOOKUP($A97,予処理!$A$2:$H$49,8,FALSE))</f>
        <v/>
      </c>
      <c r="G37" s="112" t="str">
        <f>IF($A97="","",VLOOKUP($A97,予処理!$A$2:$H$49,4,FALSE))</f>
        <v/>
      </c>
      <c r="J37" s="87"/>
      <c r="K37" s="87"/>
      <c r="L37" s="87"/>
      <c r="M37" s="87"/>
      <c r="N37" s="87"/>
      <c r="O37" s="87"/>
      <c r="P37" s="87"/>
    </row>
    <row r="38" spans="1:16" x14ac:dyDescent="0.15">
      <c r="A38" s="70" t="str">
        <f>IF(B38="","",Menu!$C$6)</f>
        <v/>
      </c>
      <c r="B38" s="112" t="str">
        <f>IF($A98="","",VLOOKUP($A98,予処理!$A$2:$H$49,2))</f>
        <v/>
      </c>
      <c r="C38" s="70" t="str">
        <f>IF($A98="","",VLOOKUP($A98,予処理!$A$2:$H$49,5,FALSE))</f>
        <v/>
      </c>
      <c r="D38" s="112" t="str">
        <f>IF($A98="","",VLOOKUP($A98,予処理!$A$2:$H$49,6,FALSE))</f>
        <v/>
      </c>
      <c r="E38" s="112" t="str">
        <f>IF($A98="","",VLOOKUP($A98,予処理!$A$2:$H$49,7,FALSE))</f>
        <v/>
      </c>
      <c r="F38" s="112" t="str">
        <f>IF($A98="","",VLOOKUP($A98,予処理!$A$2:$H$49,8,FALSE))</f>
        <v/>
      </c>
      <c r="G38" s="112" t="str">
        <f>IF($A98="","",VLOOKUP($A98,予処理!$A$2:$H$49,4,FALSE))</f>
        <v/>
      </c>
    </row>
    <row r="39" spans="1:16" x14ac:dyDescent="0.15">
      <c r="A39" s="70" t="str">
        <f>IF(B39="","",Menu!$C$6)</f>
        <v/>
      </c>
      <c r="B39" s="112" t="str">
        <f>IF($A99="","",VLOOKUP($A99,予処理!$A$2:$H$49,2))</f>
        <v/>
      </c>
      <c r="C39" s="70" t="str">
        <f>IF($A99="","",VLOOKUP($A99,予処理!$A$2:$H$49,5,FALSE))</f>
        <v/>
      </c>
      <c r="D39" s="112" t="str">
        <f>IF($A99="","",VLOOKUP($A99,予処理!$A$2:$H$49,6,FALSE))</f>
        <v/>
      </c>
      <c r="E39" s="112" t="str">
        <f>IF($A99="","",VLOOKUP($A99,予処理!$A$2:$H$49,7,FALSE))</f>
        <v/>
      </c>
      <c r="F39" s="112" t="str">
        <f>IF($A99="","",VLOOKUP($A99,予処理!$A$2:$H$49,8,FALSE))</f>
        <v/>
      </c>
      <c r="G39" s="112" t="str">
        <f>IF($A99="","",VLOOKUP($A99,予処理!$A$2:$H$49,4,FALSE))</f>
        <v/>
      </c>
    </row>
    <row r="40" spans="1:16" x14ac:dyDescent="0.15">
      <c r="A40" s="70" t="str">
        <f>IF(B40="","",Menu!$C$6)</f>
        <v/>
      </c>
      <c r="B40" s="112" t="str">
        <f>IF($A100="","",VLOOKUP($A100,予処理!$A$2:$H$49,2))</f>
        <v/>
      </c>
      <c r="C40" s="70" t="str">
        <f>IF($A100="","",VLOOKUP($A100,予処理!$A$2:$H$49,5,FALSE))</f>
        <v/>
      </c>
      <c r="D40" s="112" t="str">
        <f>IF($A100="","",VLOOKUP($A100,予処理!$A$2:$H$49,6,FALSE))</f>
        <v/>
      </c>
      <c r="E40" s="112" t="str">
        <f>IF($A100="","",VLOOKUP($A100,予処理!$A$2:$H$49,7,FALSE))</f>
        <v/>
      </c>
      <c r="F40" s="112" t="str">
        <f>IF($A100="","",VLOOKUP($A100,予処理!$A$2:$H$49,8,FALSE))</f>
        <v/>
      </c>
      <c r="G40" s="112" t="str">
        <f>IF($A100="","",VLOOKUP($A100,予処理!$A$2:$H$49,4,FALSE))</f>
        <v/>
      </c>
    </row>
    <row r="41" spans="1:16" x14ac:dyDescent="0.15">
      <c r="A41" s="70" t="str">
        <f>IF(B41="","",Menu!$C$6)</f>
        <v/>
      </c>
      <c r="B41" s="112" t="str">
        <f>IF($A101="","",VLOOKUP($A101,予処理!$A$2:$H$49,2))</f>
        <v/>
      </c>
      <c r="C41" s="70" t="str">
        <f>IF($A101="","",VLOOKUP($A101,予処理!$A$2:$H$49,5,FALSE))</f>
        <v/>
      </c>
      <c r="D41" s="112" t="str">
        <f>IF($A101="","",VLOOKUP($A101,予処理!$A$2:$H$49,6,FALSE))</f>
        <v/>
      </c>
      <c r="E41" s="112" t="str">
        <f>IF($A101="","",VLOOKUP($A101,予処理!$A$2:$H$49,7,FALSE))</f>
        <v/>
      </c>
      <c r="F41" s="112" t="str">
        <f>IF($A101="","",VLOOKUP($A101,予処理!$A$2:$H$49,8,FALSE))</f>
        <v/>
      </c>
      <c r="G41" s="112" t="str">
        <f>IF($A101="","",VLOOKUP($A101,予処理!$A$2:$H$49,4,FALSE))</f>
        <v/>
      </c>
    </row>
    <row r="42" spans="1:16" x14ac:dyDescent="0.15">
      <c r="A42" s="70" t="str">
        <f>IF(B42="","",Menu!$C$6)</f>
        <v/>
      </c>
      <c r="B42" s="112" t="str">
        <f>IF($A102="","",VLOOKUP($A102,予処理!$A$2:$H$49,2))</f>
        <v/>
      </c>
      <c r="C42" s="70" t="str">
        <f>IF($A102="","",VLOOKUP($A102,予処理!$A$2:$H$49,5,FALSE))</f>
        <v/>
      </c>
      <c r="D42" s="112" t="str">
        <f>IF($A102="","",VLOOKUP($A102,予処理!$A$2:$H$49,6,FALSE))</f>
        <v/>
      </c>
      <c r="E42" s="112" t="str">
        <f>IF($A102="","",VLOOKUP($A102,予処理!$A$2:$H$49,7,FALSE))</f>
        <v/>
      </c>
      <c r="F42" s="112" t="str">
        <f>IF($A102="","",VLOOKUP($A102,予処理!$A$2:$H$49,8,FALSE))</f>
        <v/>
      </c>
      <c r="G42" s="112" t="str">
        <f>IF($A102="","",VLOOKUP($A102,予処理!$A$2:$H$49,4,FALSE))</f>
        <v/>
      </c>
    </row>
    <row r="43" spans="1:16" x14ac:dyDescent="0.15">
      <c r="A43" s="70" t="str">
        <f>IF(B43="","",Menu!$C$6)</f>
        <v/>
      </c>
      <c r="B43" s="112" t="str">
        <f>IF($A103="","",VLOOKUP($A103,予処理!$A$2:$H$49,2))</f>
        <v/>
      </c>
      <c r="C43" s="70" t="str">
        <f>IF($A103="","",VLOOKUP($A103,予処理!$A$2:$H$49,5,FALSE))</f>
        <v/>
      </c>
      <c r="D43" s="112" t="str">
        <f>IF($A103="","",VLOOKUP($A103,予処理!$A$2:$H$49,6,FALSE))</f>
        <v/>
      </c>
      <c r="E43" s="112" t="str">
        <f>IF($A103="","",VLOOKUP($A103,予処理!$A$2:$H$49,7,FALSE))</f>
        <v/>
      </c>
      <c r="F43" s="112" t="str">
        <f>IF($A103="","",VLOOKUP($A103,予処理!$A$2:$H$49,8,FALSE))</f>
        <v/>
      </c>
      <c r="G43" s="112" t="str">
        <f>IF($A103="","",VLOOKUP($A103,予処理!$A$2:$H$49,4,FALSE))</f>
        <v/>
      </c>
    </row>
    <row r="44" spans="1:16" x14ac:dyDescent="0.15">
      <c r="A44" s="70" t="str">
        <f>IF(B44="","",Menu!$C$6)</f>
        <v/>
      </c>
      <c r="B44" s="112" t="str">
        <f>IF($A104="","",VLOOKUP($A104,予処理!$A$2:$H$49,2))</f>
        <v/>
      </c>
      <c r="C44" s="70" t="str">
        <f>IF($A104="","",VLOOKUP($A104,予処理!$A$2:$H$49,5,FALSE))</f>
        <v/>
      </c>
      <c r="D44" s="112" t="str">
        <f>IF($A104="","",VLOOKUP($A104,予処理!$A$2:$H$49,6,FALSE))</f>
        <v/>
      </c>
      <c r="E44" s="112" t="str">
        <f>IF($A104="","",VLOOKUP($A104,予処理!$A$2:$H$49,7,FALSE))</f>
        <v/>
      </c>
      <c r="F44" s="112" t="str">
        <f>IF($A104="","",VLOOKUP($A104,予処理!$A$2:$H$49,8,FALSE))</f>
        <v/>
      </c>
      <c r="G44" s="112" t="str">
        <f>IF($A104="","",VLOOKUP($A104,予処理!$A$2:$H$49,4,FALSE))</f>
        <v/>
      </c>
    </row>
    <row r="45" spans="1:16" x14ac:dyDescent="0.15">
      <c r="A45" s="70" t="str">
        <f>IF(B45="","",Menu!$C$6)</f>
        <v/>
      </c>
      <c r="B45" s="112" t="str">
        <f>IF($A105="","",VLOOKUP($A105,予処理!$A$2:$H$49,2))</f>
        <v/>
      </c>
      <c r="C45" s="70" t="str">
        <f>IF($A105="","",VLOOKUP($A105,予処理!$A$2:$H$49,5,FALSE))</f>
        <v/>
      </c>
      <c r="D45" s="112" t="str">
        <f>IF($A105="","",VLOOKUP($A105,予処理!$A$2:$H$49,6,FALSE))</f>
        <v/>
      </c>
      <c r="E45" s="112" t="str">
        <f>IF($A105="","",VLOOKUP($A105,予処理!$A$2:$H$49,7,FALSE))</f>
        <v/>
      </c>
      <c r="F45" s="112" t="str">
        <f>IF($A105="","",VLOOKUP($A105,予処理!$A$2:$H$49,8,FALSE))</f>
        <v/>
      </c>
      <c r="G45" s="112" t="str">
        <f>IF($A105="","",VLOOKUP($A105,予処理!$A$2:$H$49,4,FALSE))</f>
        <v/>
      </c>
    </row>
    <row r="46" spans="1:16" x14ac:dyDescent="0.15">
      <c r="A46" s="70" t="str">
        <f>IF(B46="","",Menu!$C$6)</f>
        <v/>
      </c>
      <c r="B46" s="112" t="str">
        <f>IF($A106="","",VLOOKUP($A106,予処理!$A$2:$H$49,2))</f>
        <v/>
      </c>
      <c r="C46" s="70" t="str">
        <f>IF($A106="","",VLOOKUP($A106,予処理!$A$2:$H$49,5,FALSE))</f>
        <v/>
      </c>
      <c r="D46" s="112" t="str">
        <f>IF($A106="","",VLOOKUP($A106,予処理!$A$2:$H$49,6,FALSE))</f>
        <v/>
      </c>
      <c r="E46" s="112" t="str">
        <f>IF($A106="","",VLOOKUP($A106,予処理!$A$2:$H$49,7,FALSE))</f>
        <v/>
      </c>
      <c r="F46" s="112" t="str">
        <f>IF($A106="","",VLOOKUP($A106,予処理!$A$2:$H$49,8,FALSE))</f>
        <v/>
      </c>
      <c r="G46" s="112" t="str">
        <f>IF($A106="","",VLOOKUP($A106,予処理!$A$2:$H$49,4,FALSE))</f>
        <v/>
      </c>
    </row>
    <row r="47" spans="1:16" x14ac:dyDescent="0.15">
      <c r="A47" s="70" t="str">
        <f>IF(B47="","",Menu!$C$6)</f>
        <v/>
      </c>
      <c r="B47" s="112" t="str">
        <f>IF($A107="","",VLOOKUP($A107,予処理!$A$2:$H$49,2))</f>
        <v/>
      </c>
      <c r="C47" s="70" t="str">
        <f>IF($A107="","",VLOOKUP($A107,予処理!$A$2:$H$49,5,FALSE))</f>
        <v/>
      </c>
      <c r="D47" s="112" t="str">
        <f>IF($A107="","",VLOOKUP($A107,予処理!$A$2:$H$49,6,FALSE))</f>
        <v/>
      </c>
      <c r="E47" s="112" t="str">
        <f>IF($A107="","",VLOOKUP($A107,予処理!$A$2:$H$49,7,FALSE))</f>
        <v/>
      </c>
      <c r="F47" s="112" t="str">
        <f>IF($A107="","",VLOOKUP($A107,予処理!$A$2:$H$49,8,FALSE))</f>
        <v/>
      </c>
      <c r="G47" s="112" t="str">
        <f>IF($A107="","",VLOOKUP($A107,予処理!$A$2:$H$49,4,FALSE))</f>
        <v/>
      </c>
    </row>
    <row r="48" spans="1:16" x14ac:dyDescent="0.15">
      <c r="A48" s="70" t="str">
        <f>IF(B48="","",Menu!$C$6)</f>
        <v/>
      </c>
      <c r="B48" s="112" t="str">
        <f>IF($A108="","",VLOOKUP($A108,予処理!$A$2:$H$49,2))</f>
        <v/>
      </c>
      <c r="C48" s="70" t="str">
        <f>IF($A108="","",VLOOKUP($A108,予処理!$A$2:$H$49,5,FALSE))</f>
        <v/>
      </c>
      <c r="D48" s="112" t="str">
        <f>IF($A108="","",VLOOKUP($A108,予処理!$A$2:$H$49,6,FALSE))</f>
        <v/>
      </c>
      <c r="E48" s="112" t="str">
        <f>IF($A108="","",VLOOKUP($A108,予処理!$A$2:$H$49,7,FALSE))</f>
        <v/>
      </c>
      <c r="F48" s="112" t="str">
        <f>IF($A108="","",VLOOKUP($A108,予処理!$A$2:$H$49,8,FALSE))</f>
        <v/>
      </c>
      <c r="G48" s="112" t="str">
        <f>IF($A108="","",VLOOKUP($A108,予処理!$A$2:$H$49,4,FALSE))</f>
        <v/>
      </c>
      <c r="I48" s="87"/>
    </row>
    <row r="49" spans="1:9" x14ac:dyDescent="0.15">
      <c r="A49" s="70" t="str">
        <f>IF(B49="","",Menu!$C$6)</f>
        <v/>
      </c>
      <c r="B49" s="112" t="str">
        <f>IF($A109="","",VLOOKUP($A109,予処理!$A$2:$H$49,2))</f>
        <v/>
      </c>
      <c r="C49" s="70" t="str">
        <f>IF($A109="","",VLOOKUP($A109,予処理!$A$2:$H$49,5,FALSE))</f>
        <v/>
      </c>
      <c r="D49" s="112" t="str">
        <f>IF($A109="","",VLOOKUP($A109,予処理!$A$2:$H$49,6,FALSE))</f>
        <v/>
      </c>
      <c r="E49" s="112" t="str">
        <f>IF($A109="","",VLOOKUP($A109,予処理!$A$2:$H$49,7,FALSE))</f>
        <v/>
      </c>
      <c r="F49" s="112" t="str">
        <f>IF($A109="","",VLOOKUP($A109,予処理!$A$2:$H$49,8,FALSE))</f>
        <v/>
      </c>
      <c r="G49" s="112" t="str">
        <f>IF($A109="","",VLOOKUP($A109,予処理!$A$2:$H$49,4,FALSE))</f>
        <v/>
      </c>
      <c r="I49" s="87"/>
    </row>
    <row r="50" spans="1:9" x14ac:dyDescent="0.15">
      <c r="A50" s="70" t="str">
        <f>IF(B50="","",Menu!$C$6)</f>
        <v/>
      </c>
      <c r="B50" s="70" t="str">
        <f>IF($A110="","",VLOOKUP($A110,予処理!$A$2:$H$49,2))</f>
        <v/>
      </c>
      <c r="C50" s="70" t="str">
        <f>IF($A110="","",VLOOKUP($A110,予処理!$A$2:$H$49,5,FALSE))</f>
        <v/>
      </c>
      <c r="D50" s="112" t="str">
        <f>IF($A110="","",VLOOKUP($A110,予処理!$A$2:$H$49,6,FALSE))</f>
        <v/>
      </c>
      <c r="E50" s="112" t="str">
        <f>IF($A110="","",VLOOKUP($A110,予処理!$A$2:$H$49,7,FALSE))</f>
        <v/>
      </c>
      <c r="F50" s="112" t="str">
        <f>IF($A110="","",VLOOKUP($A110,予処理!$A$2:$H$49,8,FALSE))</f>
        <v/>
      </c>
      <c r="G50" s="112" t="str">
        <f>IF($A110="","",VLOOKUP($A110,予処理!$A$2:$H$49,4,FALSE))</f>
        <v/>
      </c>
      <c r="I50" s="87"/>
    </row>
    <row r="51" spans="1:9" x14ac:dyDescent="0.15">
      <c r="G51" s="87"/>
      <c r="H51" s="87"/>
      <c r="I51" s="87"/>
    </row>
    <row r="52" spans="1:9" x14ac:dyDescent="0.15">
      <c r="G52" s="87"/>
      <c r="H52" s="87"/>
      <c r="I52" s="87"/>
    </row>
    <row r="53" spans="1:9" x14ac:dyDescent="0.15">
      <c r="G53" s="87"/>
      <c r="H53" s="87"/>
      <c r="I53" s="87"/>
    </row>
    <row r="54" spans="1:9" x14ac:dyDescent="0.15">
      <c r="G54" s="87"/>
      <c r="H54" s="87"/>
      <c r="I54" s="87"/>
    </row>
    <row r="55" spans="1:9" x14ac:dyDescent="0.15">
      <c r="G55" s="87"/>
      <c r="H55" s="87"/>
      <c r="I55" s="87"/>
    </row>
    <row r="56" spans="1:9" x14ac:dyDescent="0.15">
      <c r="G56" s="87"/>
      <c r="H56" s="87"/>
      <c r="I56" s="87"/>
    </row>
    <row r="57" spans="1:9" x14ac:dyDescent="0.15">
      <c r="G57" s="87"/>
      <c r="H57" s="87"/>
      <c r="I57" s="87"/>
    </row>
    <row r="58" spans="1:9" x14ac:dyDescent="0.15">
      <c r="G58" s="87"/>
      <c r="H58" s="87"/>
      <c r="I58" s="87"/>
    </row>
    <row r="69" spans="1:1" hidden="1" x14ac:dyDescent="0.15"/>
    <row r="70" spans="1:1" hidden="1" x14ac:dyDescent="0.15">
      <c r="A70" s="87">
        <f>MAX(予処理!A2:A49)</f>
        <v>0</v>
      </c>
    </row>
    <row r="71" spans="1:1" hidden="1" x14ac:dyDescent="0.15">
      <c r="A71" s="87" t="str">
        <f>IF(ROW()-70&lt;=$A$70,ROW()-70,"")</f>
        <v/>
      </c>
    </row>
    <row r="72" spans="1:1" hidden="1" x14ac:dyDescent="0.15">
      <c r="A72" s="87" t="str">
        <f t="shared" ref="A72:A135" si="0">IF(ROW()-70&lt;=$A$70,ROW()-70,"")</f>
        <v/>
      </c>
    </row>
    <row r="73" spans="1:1" hidden="1" x14ac:dyDescent="0.15">
      <c r="A73" s="87" t="str">
        <f t="shared" si="0"/>
        <v/>
      </c>
    </row>
    <row r="74" spans="1:1" hidden="1" x14ac:dyDescent="0.15">
      <c r="A74" s="87" t="str">
        <f t="shared" si="0"/>
        <v/>
      </c>
    </row>
    <row r="75" spans="1:1" hidden="1" x14ac:dyDescent="0.15">
      <c r="A75" s="87" t="str">
        <f t="shared" si="0"/>
        <v/>
      </c>
    </row>
    <row r="76" spans="1:1" hidden="1" x14ac:dyDescent="0.15">
      <c r="A76" s="87" t="str">
        <f t="shared" si="0"/>
        <v/>
      </c>
    </row>
    <row r="77" spans="1:1" hidden="1" x14ac:dyDescent="0.15">
      <c r="A77" s="87" t="str">
        <f t="shared" si="0"/>
        <v/>
      </c>
    </row>
    <row r="78" spans="1:1" hidden="1" x14ac:dyDescent="0.15">
      <c r="A78" s="87" t="str">
        <f t="shared" si="0"/>
        <v/>
      </c>
    </row>
    <row r="79" spans="1:1" hidden="1" x14ac:dyDescent="0.15">
      <c r="A79" s="87" t="str">
        <f t="shared" si="0"/>
        <v/>
      </c>
    </row>
    <row r="80" spans="1:1" hidden="1" x14ac:dyDescent="0.15">
      <c r="A80" s="87" t="str">
        <f t="shared" si="0"/>
        <v/>
      </c>
    </row>
    <row r="81" spans="1:1" hidden="1" x14ac:dyDescent="0.15">
      <c r="A81" s="87" t="str">
        <f t="shared" si="0"/>
        <v/>
      </c>
    </row>
    <row r="82" spans="1:1" hidden="1" x14ac:dyDescent="0.15">
      <c r="A82" s="87" t="str">
        <f t="shared" si="0"/>
        <v/>
      </c>
    </row>
    <row r="83" spans="1:1" hidden="1" x14ac:dyDescent="0.15">
      <c r="A83" s="87" t="str">
        <f t="shared" si="0"/>
        <v/>
      </c>
    </row>
    <row r="84" spans="1:1" hidden="1" x14ac:dyDescent="0.15">
      <c r="A84" s="87" t="str">
        <f t="shared" si="0"/>
        <v/>
      </c>
    </row>
    <row r="85" spans="1:1" hidden="1" x14ac:dyDescent="0.15">
      <c r="A85" s="87" t="str">
        <f t="shared" si="0"/>
        <v/>
      </c>
    </row>
    <row r="86" spans="1:1" hidden="1" x14ac:dyDescent="0.15">
      <c r="A86" s="87" t="str">
        <f t="shared" si="0"/>
        <v/>
      </c>
    </row>
    <row r="87" spans="1:1" hidden="1" x14ac:dyDescent="0.15">
      <c r="A87" s="87" t="str">
        <f t="shared" si="0"/>
        <v/>
      </c>
    </row>
    <row r="88" spans="1:1" hidden="1" x14ac:dyDescent="0.15">
      <c r="A88" s="87" t="str">
        <f t="shared" si="0"/>
        <v/>
      </c>
    </row>
    <row r="89" spans="1:1" hidden="1" x14ac:dyDescent="0.15">
      <c r="A89" s="87" t="str">
        <f t="shared" si="0"/>
        <v/>
      </c>
    </row>
    <row r="90" spans="1:1" hidden="1" x14ac:dyDescent="0.15">
      <c r="A90" s="87" t="str">
        <f t="shared" si="0"/>
        <v/>
      </c>
    </row>
    <row r="91" spans="1:1" hidden="1" x14ac:dyDescent="0.15">
      <c r="A91" s="87" t="str">
        <f t="shared" si="0"/>
        <v/>
      </c>
    </row>
    <row r="92" spans="1:1" hidden="1" x14ac:dyDescent="0.15">
      <c r="A92" s="87" t="str">
        <f t="shared" si="0"/>
        <v/>
      </c>
    </row>
    <row r="93" spans="1:1" hidden="1" x14ac:dyDescent="0.15">
      <c r="A93" s="87" t="str">
        <f t="shared" si="0"/>
        <v/>
      </c>
    </row>
    <row r="94" spans="1:1" hidden="1" x14ac:dyDescent="0.15">
      <c r="A94" s="87" t="str">
        <f t="shared" si="0"/>
        <v/>
      </c>
    </row>
    <row r="95" spans="1:1" x14ac:dyDescent="0.15">
      <c r="A95" s="87" t="str">
        <f t="shared" si="0"/>
        <v/>
      </c>
    </row>
    <row r="96" spans="1:1" x14ac:dyDescent="0.15">
      <c r="A96" s="87" t="str">
        <f t="shared" si="0"/>
        <v/>
      </c>
    </row>
    <row r="97" spans="1:1" x14ac:dyDescent="0.15">
      <c r="A97" s="87" t="str">
        <f t="shared" si="0"/>
        <v/>
      </c>
    </row>
    <row r="98" spans="1:1" x14ac:dyDescent="0.15">
      <c r="A98" s="87" t="str">
        <f t="shared" si="0"/>
        <v/>
      </c>
    </row>
    <row r="99" spans="1:1" x14ac:dyDescent="0.15">
      <c r="A99" s="87" t="str">
        <f t="shared" si="0"/>
        <v/>
      </c>
    </row>
    <row r="100" spans="1:1" x14ac:dyDescent="0.15">
      <c r="A100" s="87" t="str">
        <f t="shared" si="0"/>
        <v/>
      </c>
    </row>
    <row r="101" spans="1:1" x14ac:dyDescent="0.15">
      <c r="A101" s="87" t="str">
        <f t="shared" si="0"/>
        <v/>
      </c>
    </row>
    <row r="102" spans="1:1" x14ac:dyDescent="0.15">
      <c r="A102" s="87" t="str">
        <f t="shared" si="0"/>
        <v/>
      </c>
    </row>
    <row r="103" spans="1:1" x14ac:dyDescent="0.15">
      <c r="A103" s="87" t="str">
        <f t="shared" si="0"/>
        <v/>
      </c>
    </row>
    <row r="104" spans="1:1" x14ac:dyDescent="0.15">
      <c r="A104" s="87" t="str">
        <f t="shared" si="0"/>
        <v/>
      </c>
    </row>
    <row r="105" spans="1:1" x14ac:dyDescent="0.15">
      <c r="A105" s="87" t="str">
        <f t="shared" si="0"/>
        <v/>
      </c>
    </row>
    <row r="106" spans="1:1" x14ac:dyDescent="0.15">
      <c r="A106" s="87" t="str">
        <f t="shared" si="0"/>
        <v/>
      </c>
    </row>
    <row r="107" spans="1:1" x14ac:dyDescent="0.15">
      <c r="A107" s="87" t="str">
        <f t="shared" si="0"/>
        <v/>
      </c>
    </row>
    <row r="108" spans="1:1" x14ac:dyDescent="0.15">
      <c r="A108" s="87" t="str">
        <f t="shared" si="0"/>
        <v/>
      </c>
    </row>
    <row r="109" spans="1:1" x14ac:dyDescent="0.15">
      <c r="A109" s="87" t="str">
        <f t="shared" si="0"/>
        <v/>
      </c>
    </row>
    <row r="110" spans="1:1" x14ac:dyDescent="0.15">
      <c r="A110" s="87" t="str">
        <f t="shared" si="0"/>
        <v/>
      </c>
    </row>
    <row r="111" spans="1:1" x14ac:dyDescent="0.15">
      <c r="A111" s="87" t="str">
        <f t="shared" si="0"/>
        <v/>
      </c>
    </row>
    <row r="112" spans="1:1" x14ac:dyDescent="0.15">
      <c r="A112" s="87" t="str">
        <f t="shared" si="0"/>
        <v/>
      </c>
    </row>
    <row r="113" spans="1:1" x14ac:dyDescent="0.15">
      <c r="A113" s="87" t="str">
        <f t="shared" si="0"/>
        <v/>
      </c>
    </row>
    <row r="114" spans="1:1" x14ac:dyDescent="0.15">
      <c r="A114" s="87" t="str">
        <f t="shared" si="0"/>
        <v/>
      </c>
    </row>
    <row r="115" spans="1:1" x14ac:dyDescent="0.15">
      <c r="A115" s="87" t="str">
        <f t="shared" si="0"/>
        <v/>
      </c>
    </row>
    <row r="116" spans="1:1" x14ac:dyDescent="0.15">
      <c r="A116" s="87" t="str">
        <f t="shared" si="0"/>
        <v/>
      </c>
    </row>
    <row r="117" spans="1:1" x14ac:dyDescent="0.15">
      <c r="A117" s="87" t="str">
        <f t="shared" si="0"/>
        <v/>
      </c>
    </row>
    <row r="118" spans="1:1" x14ac:dyDescent="0.15">
      <c r="A118" s="87" t="str">
        <f t="shared" si="0"/>
        <v/>
      </c>
    </row>
    <row r="119" spans="1:1" x14ac:dyDescent="0.15">
      <c r="A119" s="87" t="str">
        <f>IF(ROW()-70&lt;=$A$70,ROW()-70,"")</f>
        <v/>
      </c>
    </row>
    <row r="120" spans="1:1" x14ac:dyDescent="0.15">
      <c r="A120" s="87" t="str">
        <f t="shared" si="0"/>
        <v/>
      </c>
    </row>
    <row r="121" spans="1:1" x14ac:dyDescent="0.15">
      <c r="A121" s="87" t="str">
        <f t="shared" si="0"/>
        <v/>
      </c>
    </row>
    <row r="122" spans="1:1" x14ac:dyDescent="0.15">
      <c r="A122" s="87" t="str">
        <f t="shared" si="0"/>
        <v/>
      </c>
    </row>
    <row r="123" spans="1:1" x14ac:dyDescent="0.15">
      <c r="A123" s="87" t="str">
        <f t="shared" si="0"/>
        <v/>
      </c>
    </row>
    <row r="124" spans="1:1" x14ac:dyDescent="0.15">
      <c r="A124" s="87" t="str">
        <f t="shared" si="0"/>
        <v/>
      </c>
    </row>
    <row r="125" spans="1:1" x14ac:dyDescent="0.15">
      <c r="A125" s="87" t="str">
        <f t="shared" si="0"/>
        <v/>
      </c>
    </row>
    <row r="126" spans="1:1" x14ac:dyDescent="0.15">
      <c r="A126" s="87" t="str">
        <f t="shared" si="0"/>
        <v/>
      </c>
    </row>
    <row r="127" spans="1:1" x14ac:dyDescent="0.15">
      <c r="A127" s="87" t="str">
        <f t="shared" si="0"/>
        <v/>
      </c>
    </row>
    <row r="128" spans="1:1" x14ac:dyDescent="0.15">
      <c r="A128" s="87" t="str">
        <f t="shared" si="0"/>
        <v/>
      </c>
    </row>
    <row r="129" spans="1:1" x14ac:dyDescent="0.15">
      <c r="A129" s="87" t="str">
        <f t="shared" si="0"/>
        <v/>
      </c>
    </row>
    <row r="130" spans="1:1" x14ac:dyDescent="0.15">
      <c r="A130" s="87" t="str">
        <f t="shared" si="0"/>
        <v/>
      </c>
    </row>
    <row r="131" spans="1:1" x14ac:dyDescent="0.15">
      <c r="A131" s="87" t="str">
        <f t="shared" si="0"/>
        <v/>
      </c>
    </row>
    <row r="132" spans="1:1" x14ac:dyDescent="0.15">
      <c r="A132" s="87" t="str">
        <f t="shared" si="0"/>
        <v/>
      </c>
    </row>
    <row r="133" spans="1:1" x14ac:dyDescent="0.15">
      <c r="A133" s="87" t="str">
        <f t="shared" si="0"/>
        <v/>
      </c>
    </row>
    <row r="134" spans="1:1" x14ac:dyDescent="0.15">
      <c r="A134" s="87" t="str">
        <f t="shared" si="0"/>
        <v/>
      </c>
    </row>
    <row r="135" spans="1:1" x14ac:dyDescent="0.15">
      <c r="A135" s="87" t="str">
        <f t="shared" si="0"/>
        <v/>
      </c>
    </row>
    <row r="136" spans="1:1" x14ac:dyDescent="0.15">
      <c r="A136" s="87" t="str">
        <f>IF(ROW()-70&lt;=$A$70,ROW()-70,"")</f>
        <v/>
      </c>
    </row>
    <row r="137" spans="1:1" x14ac:dyDescent="0.15">
      <c r="A137" s="87" t="str">
        <f>IF(ROW()-70&lt;=$A$70,ROW()-70,"")</f>
        <v/>
      </c>
    </row>
    <row r="138" spans="1:1" x14ac:dyDescent="0.15">
      <c r="A138" s="87" t="str">
        <f>IF(ROW()-70&lt;=$A$70,ROW()-70,"")</f>
        <v/>
      </c>
    </row>
    <row r="139" spans="1:1" x14ac:dyDescent="0.15">
      <c r="A139" s="87" t="str">
        <f>IF(ROW()-70&lt;=$A$70,ROW()-70,"")</f>
        <v/>
      </c>
    </row>
    <row r="140" spans="1:1" x14ac:dyDescent="0.15">
      <c r="A140" s="87"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B3:B4"/>
    <mergeCell ref="A3:A4"/>
    <mergeCell ref="J3:K3"/>
    <mergeCell ref="L3:M3"/>
    <mergeCell ref="N3:O3"/>
    <mergeCell ref="V3:V4"/>
    <mergeCell ref="T3:U3"/>
    <mergeCell ref="C3:C4"/>
    <mergeCell ref="D3:E3"/>
    <mergeCell ref="F3:G3"/>
    <mergeCell ref="H3:I3"/>
    <mergeCell ref="P3:Q3"/>
    <mergeCell ref="R3:S3"/>
  </mergeCells>
  <phoneticPr fontId="16"/>
  <conditionalFormatting sqref="A11:G11 A50:B50 C12:G50">
    <cfRule type="notContainsBlanks" dxfId="3" priority="4" stopIfTrue="1">
      <formula>LEN(TRIM(A11))&gt;0</formula>
    </cfRule>
  </conditionalFormatting>
  <conditionalFormatting sqref="A11:G11 C12:G50">
    <cfRule type="expression" dxfId="2" priority="3" stopIfTrue="1">
      <formula>$F11="D"</formula>
    </cfRule>
  </conditionalFormatting>
  <conditionalFormatting sqref="A12:B49">
    <cfRule type="notContainsBlanks" dxfId="1" priority="2" stopIfTrue="1">
      <formula>LEN(TRIM(A12))&gt;0</formula>
    </cfRule>
  </conditionalFormatting>
  <conditionalFormatting sqref="A12:B49">
    <cfRule type="expression" dxfId="0" priority="1" stopIfTrue="1">
      <formula>$F12="D"</formula>
    </cfRule>
  </conditionalFormatting>
  <hyperlinks>
    <hyperlink ref="F1" location="Menu!C6" display="戻る"/>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5"/>
  <sheetViews>
    <sheetView showGridLines="0" showRowColHeaders="0" workbookViewId="0">
      <pane xSplit="1" ySplit="2" topLeftCell="B3" activePane="bottomRight" state="frozen"/>
      <selection pane="topRight" activeCell="B1" sqref="B1"/>
      <selection pane="bottomLeft" activeCell="A3" sqref="A3"/>
      <selection pane="bottomRight" activeCell="F1" sqref="F1"/>
    </sheetView>
  </sheetViews>
  <sheetFormatPr defaultRowHeight="13.5" x14ac:dyDescent="0.15"/>
  <cols>
    <col min="1" max="1" width="2.5" customWidth="1"/>
    <col min="2" max="2" width="9" bestFit="1" customWidth="1"/>
    <col min="3" max="3" width="18" hidden="1" customWidth="1"/>
    <col min="4" max="4" width="27.625" bestFit="1" customWidth="1"/>
    <col min="5" max="5" width="3.625" customWidth="1"/>
    <col min="6" max="6" width="12.75" bestFit="1" customWidth="1"/>
  </cols>
  <sheetData>
    <row r="1" spans="2:6" x14ac:dyDescent="0.15">
      <c r="F1" s="111" t="s">
        <v>196</v>
      </c>
    </row>
    <row r="2" spans="2:6" x14ac:dyDescent="0.15">
      <c r="B2" s="109" t="s">
        <v>194</v>
      </c>
      <c r="C2" s="109" t="s">
        <v>195</v>
      </c>
      <c r="D2" s="109" t="s">
        <v>71</v>
      </c>
    </row>
    <row r="3" spans="2:6" x14ac:dyDescent="0.15">
      <c r="B3" s="110">
        <v>1</v>
      </c>
      <c r="C3" s="105" t="s">
        <v>88</v>
      </c>
      <c r="D3" s="104" t="s">
        <v>141</v>
      </c>
    </row>
    <row r="4" spans="2:6" x14ac:dyDescent="0.15">
      <c r="B4" s="110">
        <v>2</v>
      </c>
      <c r="C4" s="106" t="s">
        <v>89</v>
      </c>
      <c r="D4" s="104" t="s">
        <v>142</v>
      </c>
    </row>
    <row r="5" spans="2:6" x14ac:dyDescent="0.15">
      <c r="B5" s="110">
        <v>3</v>
      </c>
      <c r="C5" s="105" t="s">
        <v>90</v>
      </c>
      <c r="D5" s="104" t="s">
        <v>143</v>
      </c>
    </row>
    <row r="6" spans="2:6" x14ac:dyDescent="0.15">
      <c r="B6" s="110">
        <v>4</v>
      </c>
      <c r="C6" s="106" t="s">
        <v>91</v>
      </c>
      <c r="D6" s="104" t="s">
        <v>144</v>
      </c>
    </row>
    <row r="7" spans="2:6" x14ac:dyDescent="0.15">
      <c r="B7" s="110">
        <v>5</v>
      </c>
      <c r="C7" s="105" t="s">
        <v>92</v>
      </c>
      <c r="D7" s="104" t="s">
        <v>145</v>
      </c>
    </row>
    <row r="8" spans="2:6" x14ac:dyDescent="0.15">
      <c r="B8" s="110">
        <v>6</v>
      </c>
      <c r="C8" s="106" t="s">
        <v>93</v>
      </c>
      <c r="D8" s="104" t="s">
        <v>146</v>
      </c>
    </row>
    <row r="9" spans="2:6" x14ac:dyDescent="0.15">
      <c r="B9" s="110">
        <v>7</v>
      </c>
      <c r="C9" s="106" t="s">
        <v>94</v>
      </c>
      <c r="D9" s="104" t="s">
        <v>147</v>
      </c>
    </row>
    <row r="10" spans="2:6" x14ac:dyDescent="0.15">
      <c r="B10" s="110">
        <v>8</v>
      </c>
      <c r="C10" s="106" t="s">
        <v>95</v>
      </c>
      <c r="D10" s="104" t="s">
        <v>191</v>
      </c>
    </row>
    <row r="11" spans="2:6" x14ac:dyDescent="0.15">
      <c r="B11" s="110">
        <v>9</v>
      </c>
      <c r="C11" s="106" t="s">
        <v>96</v>
      </c>
      <c r="D11" s="104" t="s">
        <v>148</v>
      </c>
    </row>
    <row r="12" spans="2:6" x14ac:dyDescent="0.15">
      <c r="B12" s="110">
        <v>10</v>
      </c>
      <c r="C12" s="106" t="s">
        <v>97</v>
      </c>
      <c r="D12" s="104" t="s">
        <v>149</v>
      </c>
    </row>
    <row r="13" spans="2:6" x14ac:dyDescent="0.15">
      <c r="B13" s="110">
        <v>11</v>
      </c>
      <c r="C13" s="106" t="s">
        <v>98</v>
      </c>
      <c r="D13" s="104" t="s">
        <v>150</v>
      </c>
    </row>
    <row r="14" spans="2:6" x14ac:dyDescent="0.15">
      <c r="B14" s="110">
        <v>12</v>
      </c>
      <c r="C14" s="106" t="s">
        <v>99</v>
      </c>
      <c r="D14" s="104" t="s">
        <v>151</v>
      </c>
    </row>
    <row r="15" spans="2:6" x14ac:dyDescent="0.15">
      <c r="B15" s="110">
        <v>13</v>
      </c>
      <c r="C15" s="106" t="s">
        <v>100</v>
      </c>
      <c r="D15" s="104" t="s">
        <v>152</v>
      </c>
    </row>
    <row r="16" spans="2:6" x14ac:dyDescent="0.15">
      <c r="B16" s="110">
        <v>14</v>
      </c>
      <c r="C16" s="106" t="s">
        <v>101</v>
      </c>
      <c r="D16" s="104" t="s">
        <v>153</v>
      </c>
    </row>
    <row r="17" spans="2:4" x14ac:dyDescent="0.15">
      <c r="B17" s="110">
        <v>15</v>
      </c>
      <c r="C17" s="106" t="s">
        <v>102</v>
      </c>
      <c r="D17" s="104" t="s">
        <v>154</v>
      </c>
    </row>
    <row r="18" spans="2:4" x14ac:dyDescent="0.15">
      <c r="B18" s="110">
        <v>16</v>
      </c>
      <c r="C18" s="105" t="s">
        <v>103</v>
      </c>
      <c r="D18" s="104" t="s">
        <v>155</v>
      </c>
    </row>
    <row r="19" spans="2:4" x14ac:dyDescent="0.15">
      <c r="B19" s="110">
        <v>17</v>
      </c>
      <c r="C19" s="106" t="s">
        <v>104</v>
      </c>
      <c r="D19" s="104" t="s">
        <v>156</v>
      </c>
    </row>
    <row r="20" spans="2:4" x14ac:dyDescent="0.15">
      <c r="B20" s="110">
        <v>18</v>
      </c>
      <c r="C20" s="106" t="s">
        <v>105</v>
      </c>
      <c r="D20" s="104" t="s">
        <v>157</v>
      </c>
    </row>
    <row r="21" spans="2:4" x14ac:dyDescent="0.15">
      <c r="B21" s="110">
        <v>19</v>
      </c>
      <c r="C21" s="106" t="s">
        <v>106</v>
      </c>
      <c r="D21" s="104" t="s">
        <v>158</v>
      </c>
    </row>
    <row r="22" spans="2:4" x14ac:dyDescent="0.15">
      <c r="B22" s="110">
        <v>20</v>
      </c>
      <c r="C22" s="105" t="s">
        <v>107</v>
      </c>
      <c r="D22" s="104" t="s">
        <v>159</v>
      </c>
    </row>
    <row r="23" spans="2:4" x14ac:dyDescent="0.15">
      <c r="B23" s="110">
        <v>21</v>
      </c>
      <c r="C23" s="106" t="s">
        <v>108</v>
      </c>
      <c r="D23" s="104" t="s">
        <v>160</v>
      </c>
    </row>
    <row r="24" spans="2:4" x14ac:dyDescent="0.15">
      <c r="B24" s="110">
        <v>22</v>
      </c>
      <c r="C24" s="106" t="s">
        <v>109</v>
      </c>
      <c r="D24" s="104" t="s">
        <v>161</v>
      </c>
    </row>
    <row r="25" spans="2:4" x14ac:dyDescent="0.15">
      <c r="B25" s="110">
        <v>23</v>
      </c>
      <c r="C25" s="106" t="s">
        <v>110</v>
      </c>
      <c r="D25" s="104" t="s">
        <v>162</v>
      </c>
    </row>
    <row r="26" spans="2:4" x14ac:dyDescent="0.15">
      <c r="B26" s="110">
        <v>24</v>
      </c>
      <c r="C26" s="106" t="s">
        <v>111</v>
      </c>
      <c r="D26" s="104" t="s">
        <v>163</v>
      </c>
    </row>
    <row r="27" spans="2:4" x14ac:dyDescent="0.15">
      <c r="B27" s="110">
        <v>25</v>
      </c>
      <c r="C27" s="106" t="s">
        <v>112</v>
      </c>
      <c r="D27" s="104" t="s">
        <v>164</v>
      </c>
    </row>
    <row r="28" spans="2:4" x14ac:dyDescent="0.15">
      <c r="B28" s="110">
        <v>26</v>
      </c>
      <c r="C28" s="106" t="s">
        <v>113</v>
      </c>
      <c r="D28" s="104" t="s">
        <v>165</v>
      </c>
    </row>
    <row r="29" spans="2:4" x14ac:dyDescent="0.15">
      <c r="B29" s="110">
        <v>27</v>
      </c>
      <c r="C29" s="105" t="s">
        <v>114</v>
      </c>
      <c r="D29" s="104" t="s">
        <v>166</v>
      </c>
    </row>
    <row r="30" spans="2:4" x14ac:dyDescent="0.15">
      <c r="B30" s="110">
        <v>28</v>
      </c>
      <c r="C30" s="105" t="s">
        <v>115</v>
      </c>
      <c r="D30" s="104" t="s">
        <v>167</v>
      </c>
    </row>
    <row r="31" spans="2:4" x14ac:dyDescent="0.15">
      <c r="B31" s="110">
        <v>29</v>
      </c>
      <c r="C31" s="106" t="s">
        <v>116</v>
      </c>
      <c r="D31" s="104" t="s">
        <v>168</v>
      </c>
    </row>
    <row r="32" spans="2:4" x14ac:dyDescent="0.15">
      <c r="B32" s="110">
        <v>30</v>
      </c>
      <c r="C32" s="106" t="s">
        <v>117</v>
      </c>
      <c r="D32" s="104" t="s">
        <v>169</v>
      </c>
    </row>
    <row r="33" spans="2:4" x14ac:dyDescent="0.15">
      <c r="B33" s="110">
        <v>31</v>
      </c>
      <c r="C33" s="106" t="s">
        <v>118</v>
      </c>
      <c r="D33" s="104" t="s">
        <v>170</v>
      </c>
    </row>
    <row r="34" spans="2:4" x14ac:dyDescent="0.15">
      <c r="B34" s="110">
        <v>32</v>
      </c>
      <c r="C34" s="106" t="s">
        <v>119</v>
      </c>
      <c r="D34" s="104" t="s">
        <v>171</v>
      </c>
    </row>
    <row r="35" spans="2:4" x14ac:dyDescent="0.15">
      <c r="B35" s="110">
        <v>33</v>
      </c>
      <c r="C35" s="106" t="s">
        <v>120</v>
      </c>
      <c r="D35" s="104" t="s">
        <v>172</v>
      </c>
    </row>
    <row r="36" spans="2:4" x14ac:dyDescent="0.15">
      <c r="B36" s="110">
        <v>34</v>
      </c>
      <c r="C36" s="105" t="s">
        <v>121</v>
      </c>
      <c r="D36" s="104" t="s">
        <v>173</v>
      </c>
    </row>
    <row r="37" spans="2:4" x14ac:dyDescent="0.15">
      <c r="B37" s="110">
        <v>35</v>
      </c>
      <c r="C37" s="106" t="s">
        <v>122</v>
      </c>
      <c r="D37" s="104" t="s">
        <v>174</v>
      </c>
    </row>
    <row r="38" spans="2:4" x14ac:dyDescent="0.15">
      <c r="B38" s="110">
        <v>36</v>
      </c>
      <c r="C38" s="105" t="s">
        <v>123</v>
      </c>
      <c r="D38" s="104" t="s">
        <v>175</v>
      </c>
    </row>
    <row r="39" spans="2:4" x14ac:dyDescent="0.15">
      <c r="B39" s="110">
        <v>37</v>
      </c>
      <c r="C39" s="106" t="s">
        <v>124</v>
      </c>
      <c r="D39" s="104" t="s">
        <v>176</v>
      </c>
    </row>
    <row r="40" spans="2:4" x14ac:dyDescent="0.15">
      <c r="B40" s="110">
        <v>38</v>
      </c>
      <c r="C40" s="106" t="s">
        <v>125</v>
      </c>
      <c r="D40" s="104" t="s">
        <v>177</v>
      </c>
    </row>
    <row r="41" spans="2:4" x14ac:dyDescent="0.15">
      <c r="B41" s="110">
        <v>39</v>
      </c>
      <c r="C41" s="105" t="s">
        <v>126</v>
      </c>
      <c r="D41" s="104" t="s">
        <v>178</v>
      </c>
    </row>
    <row r="42" spans="2:4" x14ac:dyDescent="0.15">
      <c r="B42" s="110">
        <v>40</v>
      </c>
      <c r="C42" s="106" t="s">
        <v>127</v>
      </c>
      <c r="D42" s="104" t="s">
        <v>179</v>
      </c>
    </row>
    <row r="43" spans="2:4" x14ac:dyDescent="0.15">
      <c r="B43" s="110">
        <v>41</v>
      </c>
      <c r="C43" s="106" t="s">
        <v>128</v>
      </c>
      <c r="D43" s="104" t="s">
        <v>180</v>
      </c>
    </row>
    <row r="44" spans="2:4" x14ac:dyDescent="0.15">
      <c r="B44" s="110">
        <v>42</v>
      </c>
      <c r="C44" s="106" t="s">
        <v>129</v>
      </c>
      <c r="D44" s="104" t="s">
        <v>181</v>
      </c>
    </row>
    <row r="45" spans="2:4" x14ac:dyDescent="0.15">
      <c r="B45" s="110">
        <v>43</v>
      </c>
      <c r="C45" s="106" t="s">
        <v>130</v>
      </c>
      <c r="D45" s="104" t="s">
        <v>182</v>
      </c>
    </row>
    <row r="46" spans="2:4" x14ac:dyDescent="0.15">
      <c r="B46" s="110">
        <v>44</v>
      </c>
      <c r="C46" s="106" t="s">
        <v>131</v>
      </c>
      <c r="D46" s="104" t="s">
        <v>183</v>
      </c>
    </row>
    <row r="47" spans="2:4" x14ac:dyDescent="0.15">
      <c r="B47" s="110">
        <v>45</v>
      </c>
      <c r="C47" s="106" t="s">
        <v>132</v>
      </c>
      <c r="D47" s="104" t="s">
        <v>184</v>
      </c>
    </row>
    <row r="48" spans="2:4" x14ac:dyDescent="0.15">
      <c r="B48" s="110">
        <v>46</v>
      </c>
      <c r="C48" s="106" t="s">
        <v>133</v>
      </c>
      <c r="D48" s="104" t="s">
        <v>185</v>
      </c>
    </row>
    <row r="49" spans="2:4" x14ac:dyDescent="0.15">
      <c r="B49" s="110">
        <v>47</v>
      </c>
      <c r="C49" s="105" t="s">
        <v>134</v>
      </c>
      <c r="D49" s="104" t="s">
        <v>193</v>
      </c>
    </row>
    <row r="50" spans="2:4" x14ac:dyDescent="0.15">
      <c r="B50" s="110">
        <v>48</v>
      </c>
      <c r="C50" s="106" t="s">
        <v>135</v>
      </c>
      <c r="D50" s="104" t="s">
        <v>186</v>
      </c>
    </row>
    <row r="51" spans="2:4" x14ac:dyDescent="0.15">
      <c r="B51" s="110">
        <v>49</v>
      </c>
      <c r="C51" s="106" t="s">
        <v>136</v>
      </c>
      <c r="D51" s="104" t="s">
        <v>187</v>
      </c>
    </row>
    <row r="52" spans="2:4" x14ac:dyDescent="0.15">
      <c r="B52" s="110">
        <v>50</v>
      </c>
      <c r="C52" s="106" t="s">
        <v>137</v>
      </c>
      <c r="D52" s="104" t="s">
        <v>188</v>
      </c>
    </row>
    <row r="53" spans="2:4" x14ac:dyDescent="0.15">
      <c r="B53" s="110">
        <v>51</v>
      </c>
      <c r="C53" s="105" t="s">
        <v>138</v>
      </c>
      <c r="D53" s="104" t="s">
        <v>189</v>
      </c>
    </row>
    <row r="54" spans="2:4" x14ac:dyDescent="0.15">
      <c r="B54" s="110">
        <v>52</v>
      </c>
      <c r="C54" s="105" t="s">
        <v>139</v>
      </c>
      <c r="D54" s="104" t="s">
        <v>190</v>
      </c>
    </row>
    <row r="55" spans="2:4" x14ac:dyDescent="0.15">
      <c r="B55" s="110">
        <v>99</v>
      </c>
      <c r="C55" s="105" t="s">
        <v>140</v>
      </c>
      <c r="D55" s="104" t="s">
        <v>192</v>
      </c>
    </row>
  </sheetData>
  <sheetProtection algorithmName="SHA-512" hashValue="v/rOIRJF2rLvWvyYW5VJIErIaui04TrdPJ/QmW3Ofta0pIXrzj0p9lFq01ffq/+UrqgDHY+eC07Shux5BPl2oA==" saltValue="Fij3MSRqdT6GQ1YewOB9Ig==" spinCount="100000" sheet="1" objects="1" scenarios="1" selectLockedCells="1"/>
  <phoneticPr fontId="16"/>
  <hyperlinks>
    <hyperlink ref="F1" location="Menu!A1" display="←設定へ戻る"/>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G14" sqref="G14"/>
    </sheetView>
  </sheetViews>
  <sheetFormatPr defaultRowHeight="13.5" x14ac:dyDescent="0.15"/>
  <cols>
    <col min="1" max="1" width="6.125" style="9" customWidth="1"/>
    <col min="2" max="4" width="5.25" style="9" bestFit="1" customWidth="1"/>
    <col min="5" max="7" width="15.875" style="9" customWidth="1"/>
    <col min="8" max="8" width="2.5" style="9" bestFit="1" customWidth="1"/>
    <col min="9" max="9" width="3.5" style="9" bestFit="1" customWidth="1"/>
    <col min="10" max="16384" width="9" style="9"/>
  </cols>
  <sheetData>
    <row r="1" spans="1:9" ht="14.25" thickBot="1" x14ac:dyDescent="0.2">
      <c r="A1" s="9">
        <f>MAX(A2:A49)</f>
        <v>0</v>
      </c>
      <c r="B1" s="9" t="s">
        <v>70</v>
      </c>
      <c r="C1" s="9" t="s">
        <v>70</v>
      </c>
      <c r="D1" s="9" t="s">
        <v>63</v>
      </c>
      <c r="E1" s="9" t="s">
        <v>71</v>
      </c>
      <c r="F1" s="9" t="s">
        <v>72</v>
      </c>
      <c r="G1" s="9" t="s">
        <v>73</v>
      </c>
    </row>
    <row r="2" spans="1:9" x14ac:dyDescent="0.15">
      <c r="A2" s="59" t="str">
        <f>IF(I2="","",RANK(I2,$I$2:$I$49,1))</f>
        <v/>
      </c>
      <c r="B2" s="60">
        <v>1</v>
      </c>
      <c r="C2" s="60" t="str">
        <f>IF(B2&lt;=男子!$B$30,予処理!B2,"")</f>
        <v/>
      </c>
      <c r="D2" s="53" t="s">
        <v>64</v>
      </c>
      <c r="E2" s="53" t="str">
        <f>IF(C2="","",Menu!$C$10)</f>
        <v/>
      </c>
      <c r="F2" s="53" t="str">
        <f t="shared" ref="F2:F9" si="0">IF(I2="","",VLOOKUP($C2*2-1,ダブルス男,18,FALSE))</f>
        <v/>
      </c>
      <c r="G2" s="53" t="str">
        <f t="shared" ref="G2:G9" si="1">IF(I2="","",VLOOKUP($C2*2,ダブルス男,18,FALSE))</f>
        <v/>
      </c>
      <c r="H2" s="55" t="s">
        <v>50</v>
      </c>
      <c r="I2" s="55" t="str">
        <f>IF(E2="","",ROW())</f>
        <v/>
      </c>
    </row>
    <row r="3" spans="1:9" x14ac:dyDescent="0.15">
      <c r="A3" s="61" t="str">
        <f t="shared" ref="A3:A49" si="2">IF(I3="","",RANK(I3,$I$2:$I$49,1))</f>
        <v/>
      </c>
      <c r="B3" s="51">
        <v>2</v>
      </c>
      <c r="C3" s="51" t="str">
        <f>IF(B3&lt;=男子!$B$30,予処理!B3,"")</f>
        <v/>
      </c>
      <c r="D3" s="52" t="s">
        <v>64</v>
      </c>
      <c r="E3" s="52" t="str">
        <f>IF(C3="","",Menu!$C$10)</f>
        <v/>
      </c>
      <c r="F3" s="52" t="str">
        <f t="shared" si="0"/>
        <v/>
      </c>
      <c r="G3" s="52" t="str">
        <f t="shared" si="1"/>
        <v/>
      </c>
      <c r="H3" s="56" t="s">
        <v>50</v>
      </c>
      <c r="I3" s="56" t="str">
        <f t="shared" ref="I3:I49" si="3">IF(E3="","",ROW())</f>
        <v/>
      </c>
    </row>
    <row r="4" spans="1:9" x14ac:dyDescent="0.15">
      <c r="A4" s="61" t="str">
        <f t="shared" si="2"/>
        <v/>
      </c>
      <c r="B4" s="51">
        <v>3</v>
      </c>
      <c r="C4" s="51" t="str">
        <f>IF(B4&lt;=男子!$B$30,予処理!B4,"")</f>
        <v/>
      </c>
      <c r="D4" s="52" t="s">
        <v>64</v>
      </c>
      <c r="E4" s="52" t="str">
        <f>IF(C4="","",Menu!$C$10)</f>
        <v/>
      </c>
      <c r="F4" s="52" t="str">
        <f t="shared" si="0"/>
        <v/>
      </c>
      <c r="G4" s="52" t="str">
        <f t="shared" si="1"/>
        <v/>
      </c>
      <c r="H4" s="56" t="s">
        <v>50</v>
      </c>
      <c r="I4" s="56" t="str">
        <f t="shared" si="3"/>
        <v/>
      </c>
    </row>
    <row r="5" spans="1:9" x14ac:dyDescent="0.15">
      <c r="A5" s="61" t="str">
        <f t="shared" si="2"/>
        <v/>
      </c>
      <c r="B5" s="51">
        <v>4</v>
      </c>
      <c r="C5" s="51" t="str">
        <f>IF(B5&lt;=男子!$B$30,予処理!B5,"")</f>
        <v/>
      </c>
      <c r="D5" s="52" t="s">
        <v>64</v>
      </c>
      <c r="E5" s="52" t="str">
        <f>IF(C5="","",Menu!$C$10)</f>
        <v/>
      </c>
      <c r="F5" s="52" t="str">
        <f t="shared" si="0"/>
        <v/>
      </c>
      <c r="G5" s="52" t="str">
        <f t="shared" si="1"/>
        <v/>
      </c>
      <c r="H5" s="56" t="s">
        <v>50</v>
      </c>
      <c r="I5" s="56" t="str">
        <f t="shared" si="3"/>
        <v/>
      </c>
    </row>
    <row r="6" spans="1:9" x14ac:dyDescent="0.15">
      <c r="A6" s="61" t="str">
        <f t="shared" si="2"/>
        <v/>
      </c>
      <c r="B6" s="51">
        <v>5</v>
      </c>
      <c r="C6" s="51" t="str">
        <f>IF(B6&lt;=男子!$B$30,予処理!B6,"")</f>
        <v/>
      </c>
      <c r="D6" s="52" t="s">
        <v>64</v>
      </c>
      <c r="E6" s="52" t="str">
        <f>IF(C6="","",Menu!$C$10)</f>
        <v/>
      </c>
      <c r="F6" s="52" t="str">
        <f t="shared" si="0"/>
        <v/>
      </c>
      <c r="G6" s="52" t="str">
        <f t="shared" si="1"/>
        <v/>
      </c>
      <c r="H6" s="56" t="s">
        <v>50</v>
      </c>
      <c r="I6" s="56" t="str">
        <f t="shared" si="3"/>
        <v/>
      </c>
    </row>
    <row r="7" spans="1:9" x14ac:dyDescent="0.15">
      <c r="A7" s="61" t="str">
        <f t="shared" si="2"/>
        <v/>
      </c>
      <c r="B7" s="51">
        <v>6</v>
      </c>
      <c r="C7" s="51" t="str">
        <f>IF(B7&lt;=男子!$B$30,予処理!B7,"")</f>
        <v/>
      </c>
      <c r="D7" s="52" t="s">
        <v>64</v>
      </c>
      <c r="E7" s="52" t="str">
        <f>IF(C7="","",Menu!$C$10)</f>
        <v/>
      </c>
      <c r="F7" s="52" t="str">
        <f t="shared" si="0"/>
        <v/>
      </c>
      <c r="G7" s="52" t="str">
        <f t="shared" si="1"/>
        <v/>
      </c>
      <c r="H7" s="56" t="s">
        <v>50</v>
      </c>
      <c r="I7" s="56" t="str">
        <f t="shared" si="3"/>
        <v/>
      </c>
    </row>
    <row r="8" spans="1:9" x14ac:dyDescent="0.15">
      <c r="A8" s="61" t="str">
        <f t="shared" si="2"/>
        <v/>
      </c>
      <c r="B8" s="51">
        <v>7</v>
      </c>
      <c r="C8" s="51" t="str">
        <f>IF(B8&lt;=男子!$B$30,予処理!B8,"")</f>
        <v/>
      </c>
      <c r="D8" s="52" t="s">
        <v>64</v>
      </c>
      <c r="E8" s="52" t="str">
        <f>IF(C8="","",Menu!$C$10)</f>
        <v/>
      </c>
      <c r="F8" s="52" t="str">
        <f t="shared" si="0"/>
        <v/>
      </c>
      <c r="G8" s="52" t="str">
        <f t="shared" si="1"/>
        <v/>
      </c>
      <c r="H8" s="56" t="s">
        <v>50</v>
      </c>
      <c r="I8" s="56" t="str">
        <f t="shared" si="3"/>
        <v/>
      </c>
    </row>
    <row r="9" spans="1:9" x14ac:dyDescent="0.15">
      <c r="A9" s="61" t="str">
        <f t="shared" si="2"/>
        <v/>
      </c>
      <c r="B9" s="51">
        <v>8</v>
      </c>
      <c r="C9" s="51" t="str">
        <f>IF(B9&lt;=男子!$B$30,予処理!B9,"")</f>
        <v/>
      </c>
      <c r="D9" s="52" t="s">
        <v>64</v>
      </c>
      <c r="E9" s="52" t="str">
        <f>IF(C9="","",Menu!$C$10)</f>
        <v/>
      </c>
      <c r="F9" s="52" t="str">
        <f t="shared" si="0"/>
        <v/>
      </c>
      <c r="G9" s="52" t="str">
        <f t="shared" si="1"/>
        <v/>
      </c>
      <c r="H9" s="56" t="s">
        <v>50</v>
      </c>
      <c r="I9" s="56" t="str">
        <f t="shared" si="3"/>
        <v/>
      </c>
    </row>
    <row r="10" spans="1:9" x14ac:dyDescent="0.15">
      <c r="A10" s="61" t="str">
        <f t="shared" si="2"/>
        <v/>
      </c>
      <c r="B10" s="51">
        <v>1</v>
      </c>
      <c r="C10" s="51" t="str">
        <f>IF(B10&lt;=女子!$B$30,予処理!B10,"")</f>
        <v/>
      </c>
      <c r="D10" s="52" t="s">
        <v>66</v>
      </c>
      <c r="E10" s="52" t="str">
        <f>IF(C10="","",Menu!$C$10)</f>
        <v/>
      </c>
      <c r="F10" s="52" t="str">
        <f t="shared" ref="F10:F17" si="4">IF(I10="","",VLOOKUP($C10*2-1,ダブルス女,18,FALSE))</f>
        <v/>
      </c>
      <c r="G10" s="52" t="str">
        <f t="shared" ref="G10:G17" si="5">IF(I10="","",VLOOKUP($C10*2,ダブルス女,18,FALSE))</f>
        <v/>
      </c>
      <c r="H10" s="56" t="s">
        <v>50</v>
      </c>
      <c r="I10" s="56" t="str">
        <f t="shared" si="3"/>
        <v/>
      </c>
    </row>
    <row r="11" spans="1:9" x14ac:dyDescent="0.15">
      <c r="A11" s="61" t="str">
        <f t="shared" si="2"/>
        <v/>
      </c>
      <c r="B11" s="51">
        <v>2</v>
      </c>
      <c r="C11" s="51" t="str">
        <f>IF(B11&lt;=女子!$B$30,予処理!B11,"")</f>
        <v/>
      </c>
      <c r="D11" s="52" t="s">
        <v>66</v>
      </c>
      <c r="E11" s="52" t="str">
        <f>IF(C11="","",Menu!$C$10)</f>
        <v/>
      </c>
      <c r="F11" s="52" t="str">
        <f t="shared" si="4"/>
        <v/>
      </c>
      <c r="G11" s="52" t="str">
        <f t="shared" si="5"/>
        <v/>
      </c>
      <c r="H11" s="56" t="s">
        <v>50</v>
      </c>
      <c r="I11" s="56" t="str">
        <f t="shared" si="3"/>
        <v/>
      </c>
    </row>
    <row r="12" spans="1:9" x14ac:dyDescent="0.15">
      <c r="A12" s="61" t="str">
        <f t="shared" si="2"/>
        <v/>
      </c>
      <c r="B12" s="51">
        <v>3</v>
      </c>
      <c r="C12" s="51" t="str">
        <f>IF(B12&lt;=女子!$B$30,予処理!B12,"")</f>
        <v/>
      </c>
      <c r="D12" s="52" t="s">
        <v>66</v>
      </c>
      <c r="E12" s="52" t="str">
        <f>IF(C12="","",Menu!$C$10)</f>
        <v/>
      </c>
      <c r="F12" s="52" t="str">
        <f t="shared" si="4"/>
        <v/>
      </c>
      <c r="G12" s="52" t="str">
        <f t="shared" si="5"/>
        <v/>
      </c>
      <c r="H12" s="56" t="s">
        <v>50</v>
      </c>
      <c r="I12" s="56" t="str">
        <f t="shared" si="3"/>
        <v/>
      </c>
    </row>
    <row r="13" spans="1:9" x14ac:dyDescent="0.15">
      <c r="A13" s="61" t="str">
        <f t="shared" si="2"/>
        <v/>
      </c>
      <c r="B13" s="51">
        <v>4</v>
      </c>
      <c r="C13" s="51" t="str">
        <f>IF(B13&lt;=女子!$B$30,予処理!B13,"")</f>
        <v/>
      </c>
      <c r="D13" s="52" t="s">
        <v>66</v>
      </c>
      <c r="E13" s="52" t="str">
        <f>IF(C13="","",Menu!$C$10)</f>
        <v/>
      </c>
      <c r="F13" s="52" t="str">
        <f t="shared" si="4"/>
        <v/>
      </c>
      <c r="G13" s="52" t="str">
        <f t="shared" si="5"/>
        <v/>
      </c>
      <c r="H13" s="56" t="s">
        <v>50</v>
      </c>
      <c r="I13" s="56" t="str">
        <f t="shared" si="3"/>
        <v/>
      </c>
    </row>
    <row r="14" spans="1:9" x14ac:dyDescent="0.15">
      <c r="A14" s="61" t="str">
        <f t="shared" si="2"/>
        <v/>
      </c>
      <c r="B14" s="51">
        <v>5</v>
      </c>
      <c r="C14" s="51" t="str">
        <f>IF(B14&lt;=女子!$B$30,予処理!B14,"")</f>
        <v/>
      </c>
      <c r="D14" s="52" t="s">
        <v>66</v>
      </c>
      <c r="E14" s="52" t="str">
        <f>IF(C14="","",Menu!$C$10)</f>
        <v/>
      </c>
      <c r="F14" s="52" t="str">
        <f t="shared" si="4"/>
        <v/>
      </c>
      <c r="G14" s="52" t="str">
        <f t="shared" si="5"/>
        <v/>
      </c>
      <c r="H14" s="56" t="s">
        <v>50</v>
      </c>
      <c r="I14" s="56" t="str">
        <f t="shared" si="3"/>
        <v/>
      </c>
    </row>
    <row r="15" spans="1:9" x14ac:dyDescent="0.15">
      <c r="A15" s="61" t="str">
        <f t="shared" si="2"/>
        <v/>
      </c>
      <c r="B15" s="51">
        <v>6</v>
      </c>
      <c r="C15" s="51" t="str">
        <f>IF(B15&lt;=女子!$B$30,予処理!B15,"")</f>
        <v/>
      </c>
      <c r="D15" s="52" t="s">
        <v>66</v>
      </c>
      <c r="E15" s="51" t="str">
        <f>IF(C15="","",Menu!$C$10)</f>
        <v/>
      </c>
      <c r="F15" s="51" t="str">
        <f t="shared" si="4"/>
        <v/>
      </c>
      <c r="G15" s="51" t="str">
        <f t="shared" si="5"/>
        <v/>
      </c>
      <c r="H15" s="57" t="s">
        <v>50</v>
      </c>
      <c r="I15" s="57" t="str">
        <f t="shared" si="3"/>
        <v/>
      </c>
    </row>
    <row r="16" spans="1:9" x14ac:dyDescent="0.15">
      <c r="A16" s="61" t="str">
        <f t="shared" si="2"/>
        <v/>
      </c>
      <c r="B16" s="51">
        <v>7</v>
      </c>
      <c r="C16" s="51" t="str">
        <f>IF(B16&lt;=女子!$B$30,予処理!B16,"")</f>
        <v/>
      </c>
      <c r="D16" s="52" t="s">
        <v>66</v>
      </c>
      <c r="E16" s="51" t="str">
        <f>IF(C16="","",Menu!$C$10)</f>
        <v/>
      </c>
      <c r="F16" s="51" t="str">
        <f t="shared" si="4"/>
        <v/>
      </c>
      <c r="G16" s="51" t="str">
        <f t="shared" si="5"/>
        <v/>
      </c>
      <c r="H16" s="57" t="s">
        <v>50</v>
      </c>
      <c r="I16" s="57" t="str">
        <f t="shared" si="3"/>
        <v/>
      </c>
    </row>
    <row r="17" spans="1:9" x14ac:dyDescent="0.15">
      <c r="A17" s="61" t="str">
        <f t="shared" si="2"/>
        <v/>
      </c>
      <c r="B17" s="51">
        <v>8</v>
      </c>
      <c r="C17" s="51" t="str">
        <f>IF(B17&lt;=女子!$B$30,予処理!B17,"")</f>
        <v/>
      </c>
      <c r="D17" s="52" t="s">
        <v>66</v>
      </c>
      <c r="E17" s="51" t="str">
        <f>IF(C17="","",Menu!$C$10)</f>
        <v/>
      </c>
      <c r="F17" s="51" t="str">
        <f t="shared" si="4"/>
        <v/>
      </c>
      <c r="G17" s="51" t="str">
        <f t="shared" si="5"/>
        <v/>
      </c>
      <c r="H17" s="57" t="s">
        <v>50</v>
      </c>
      <c r="I17" s="57" t="str">
        <f t="shared" si="3"/>
        <v/>
      </c>
    </row>
    <row r="18" spans="1:9" x14ac:dyDescent="0.15">
      <c r="A18" s="61" t="str">
        <f t="shared" si="2"/>
        <v/>
      </c>
      <c r="B18" s="52">
        <v>1</v>
      </c>
      <c r="C18" s="52" t="str">
        <f>IF(B18&lt;=男子!$C$30,予処理!B18,"")</f>
        <v/>
      </c>
      <c r="D18" s="51" t="s">
        <v>64</v>
      </c>
      <c r="E18" s="52" t="str">
        <f>IF(C18="","",Menu!$C$10)</f>
        <v/>
      </c>
      <c r="F18" s="52" t="str">
        <f t="shared" ref="F18:F33" si="6">IF(C18="","",VLOOKUP($C18,シングル男,17,FALSE))</f>
        <v/>
      </c>
      <c r="G18" s="66" t="str">
        <f t="shared" ref="G18:G33" si="7">IF(C18="","",VLOOKUP($C18,シングル男,8,FALSE))</f>
        <v/>
      </c>
      <c r="H18" s="57" t="s">
        <v>51</v>
      </c>
      <c r="I18" s="57" t="str">
        <f t="shared" si="3"/>
        <v/>
      </c>
    </row>
    <row r="19" spans="1:9" x14ac:dyDescent="0.15">
      <c r="A19" s="61" t="str">
        <f t="shared" si="2"/>
        <v/>
      </c>
      <c r="B19" s="52">
        <v>2</v>
      </c>
      <c r="C19" s="52" t="str">
        <f>IF(B19&lt;=男子!$C$30,予処理!B19,"")</f>
        <v/>
      </c>
      <c r="D19" s="51" t="s">
        <v>64</v>
      </c>
      <c r="E19" s="52" t="str">
        <f>IF(C19="","",Menu!$C$10)</f>
        <v/>
      </c>
      <c r="F19" s="52" t="str">
        <f t="shared" si="6"/>
        <v/>
      </c>
      <c r="G19" s="66" t="str">
        <f t="shared" si="7"/>
        <v/>
      </c>
      <c r="H19" s="57" t="s">
        <v>51</v>
      </c>
      <c r="I19" s="57" t="str">
        <f t="shared" si="3"/>
        <v/>
      </c>
    </row>
    <row r="20" spans="1:9" x14ac:dyDescent="0.15">
      <c r="A20" s="61" t="str">
        <f t="shared" si="2"/>
        <v/>
      </c>
      <c r="B20" s="52">
        <v>3</v>
      </c>
      <c r="C20" s="52" t="str">
        <f>IF(B20&lt;=男子!$C$30,予処理!B20,"")</f>
        <v/>
      </c>
      <c r="D20" s="51" t="s">
        <v>64</v>
      </c>
      <c r="E20" s="52" t="str">
        <f>IF(C20="","",Menu!$C$10)</f>
        <v/>
      </c>
      <c r="F20" s="52" t="str">
        <f t="shared" si="6"/>
        <v/>
      </c>
      <c r="G20" s="66" t="str">
        <f t="shared" si="7"/>
        <v/>
      </c>
      <c r="H20" s="57" t="s">
        <v>69</v>
      </c>
      <c r="I20" s="57" t="str">
        <f t="shared" si="3"/>
        <v/>
      </c>
    </row>
    <row r="21" spans="1:9" x14ac:dyDescent="0.15">
      <c r="A21" s="61" t="str">
        <f t="shared" si="2"/>
        <v/>
      </c>
      <c r="B21" s="52">
        <v>4</v>
      </c>
      <c r="C21" s="52" t="str">
        <f>IF(B21&lt;=男子!$C$30,予処理!B21,"")</f>
        <v/>
      </c>
      <c r="D21" s="51" t="s">
        <v>64</v>
      </c>
      <c r="E21" s="52" t="str">
        <f>IF(C21="","",Menu!$C$10)</f>
        <v/>
      </c>
      <c r="F21" s="52" t="str">
        <f t="shared" si="6"/>
        <v/>
      </c>
      <c r="G21" s="66" t="str">
        <f t="shared" si="7"/>
        <v/>
      </c>
      <c r="H21" s="57" t="s">
        <v>69</v>
      </c>
      <c r="I21" s="57" t="str">
        <f t="shared" si="3"/>
        <v/>
      </c>
    </row>
    <row r="22" spans="1:9" x14ac:dyDescent="0.15">
      <c r="A22" s="61" t="str">
        <f t="shared" si="2"/>
        <v/>
      </c>
      <c r="B22" s="52">
        <v>5</v>
      </c>
      <c r="C22" s="52" t="str">
        <f>IF(B22&lt;=男子!$C$30,予処理!B22,"")</f>
        <v/>
      </c>
      <c r="D22" s="51" t="s">
        <v>64</v>
      </c>
      <c r="E22" s="52" t="str">
        <f>IF(C22="","",Menu!$C$10)</f>
        <v/>
      </c>
      <c r="F22" s="52" t="str">
        <f t="shared" si="6"/>
        <v/>
      </c>
      <c r="G22" s="66" t="str">
        <f t="shared" si="7"/>
        <v/>
      </c>
      <c r="H22" s="57" t="s">
        <v>51</v>
      </c>
      <c r="I22" s="57" t="str">
        <f t="shared" si="3"/>
        <v/>
      </c>
    </row>
    <row r="23" spans="1:9" x14ac:dyDescent="0.15">
      <c r="A23" s="61" t="str">
        <f t="shared" si="2"/>
        <v/>
      </c>
      <c r="B23" s="52">
        <v>6</v>
      </c>
      <c r="C23" s="52" t="str">
        <f>IF(B23&lt;=男子!$C$30,予処理!B23,"")</f>
        <v/>
      </c>
      <c r="D23" s="51" t="s">
        <v>64</v>
      </c>
      <c r="E23" s="52" t="str">
        <f>IF(C23="","",Menu!$C$10)</f>
        <v/>
      </c>
      <c r="F23" s="52" t="str">
        <f t="shared" si="6"/>
        <v/>
      </c>
      <c r="G23" s="66" t="str">
        <f t="shared" si="7"/>
        <v/>
      </c>
      <c r="H23" s="57" t="s">
        <v>51</v>
      </c>
      <c r="I23" s="57" t="str">
        <f t="shared" si="3"/>
        <v/>
      </c>
    </row>
    <row r="24" spans="1:9" x14ac:dyDescent="0.15">
      <c r="A24" s="61" t="str">
        <f t="shared" si="2"/>
        <v/>
      </c>
      <c r="B24" s="52">
        <v>7</v>
      </c>
      <c r="C24" s="52" t="str">
        <f>IF(B24&lt;=男子!$C$30,予処理!B24,"")</f>
        <v/>
      </c>
      <c r="D24" s="51" t="s">
        <v>64</v>
      </c>
      <c r="E24" s="52" t="str">
        <f>IF(C24="","",Menu!$C$10)</f>
        <v/>
      </c>
      <c r="F24" s="52" t="str">
        <f t="shared" si="6"/>
        <v/>
      </c>
      <c r="G24" s="66" t="str">
        <f t="shared" si="7"/>
        <v/>
      </c>
      <c r="H24" s="57" t="s">
        <v>51</v>
      </c>
      <c r="I24" s="57" t="str">
        <f t="shared" si="3"/>
        <v/>
      </c>
    </row>
    <row r="25" spans="1:9" x14ac:dyDescent="0.15">
      <c r="A25" s="61" t="str">
        <f t="shared" si="2"/>
        <v/>
      </c>
      <c r="B25" s="52">
        <v>8</v>
      </c>
      <c r="C25" s="52" t="str">
        <f>IF(B25&lt;=男子!$C$30,予処理!B25,"")</f>
        <v/>
      </c>
      <c r="D25" s="51" t="s">
        <v>64</v>
      </c>
      <c r="E25" s="52" t="str">
        <f>IF(C25="","",Menu!$C$10)</f>
        <v/>
      </c>
      <c r="F25" s="52" t="str">
        <f t="shared" si="6"/>
        <v/>
      </c>
      <c r="G25" s="66" t="str">
        <f t="shared" si="7"/>
        <v/>
      </c>
      <c r="H25" s="57" t="s">
        <v>51</v>
      </c>
      <c r="I25" s="57" t="str">
        <f t="shared" si="3"/>
        <v/>
      </c>
    </row>
    <row r="26" spans="1:9" x14ac:dyDescent="0.15">
      <c r="A26" s="61" t="str">
        <f t="shared" si="2"/>
        <v/>
      </c>
      <c r="B26" s="52">
        <v>9</v>
      </c>
      <c r="C26" s="52" t="str">
        <f>IF(B26&lt;=男子!$C$30,予処理!B26,"")</f>
        <v/>
      </c>
      <c r="D26" s="51" t="s">
        <v>64</v>
      </c>
      <c r="E26" s="52" t="str">
        <f>IF(C26="","",Menu!$C$10)</f>
        <v/>
      </c>
      <c r="F26" s="52" t="str">
        <f t="shared" si="6"/>
        <v/>
      </c>
      <c r="G26" s="66" t="str">
        <f t="shared" si="7"/>
        <v/>
      </c>
      <c r="H26" s="57" t="s">
        <v>51</v>
      </c>
      <c r="I26" s="57" t="str">
        <f t="shared" si="3"/>
        <v/>
      </c>
    </row>
    <row r="27" spans="1:9" x14ac:dyDescent="0.15">
      <c r="A27" s="61" t="str">
        <f t="shared" si="2"/>
        <v/>
      </c>
      <c r="B27" s="52">
        <v>10</v>
      </c>
      <c r="C27" s="52" t="str">
        <f>IF(B27&lt;=男子!$C$30,予処理!B27,"")</f>
        <v/>
      </c>
      <c r="D27" s="51" t="s">
        <v>64</v>
      </c>
      <c r="E27" s="52" t="str">
        <f>IF(C27="","",Menu!$C$10)</f>
        <v/>
      </c>
      <c r="F27" s="52" t="str">
        <f t="shared" si="6"/>
        <v/>
      </c>
      <c r="G27" s="66" t="str">
        <f t="shared" si="7"/>
        <v/>
      </c>
      <c r="H27" s="57" t="s">
        <v>69</v>
      </c>
      <c r="I27" s="57" t="str">
        <f t="shared" si="3"/>
        <v/>
      </c>
    </row>
    <row r="28" spans="1:9" x14ac:dyDescent="0.15">
      <c r="A28" s="61" t="str">
        <f t="shared" si="2"/>
        <v/>
      </c>
      <c r="B28" s="52">
        <v>11</v>
      </c>
      <c r="C28" s="52" t="str">
        <f>IF(B28&lt;=男子!$C$30,予処理!B28,"")</f>
        <v/>
      </c>
      <c r="D28" s="51" t="s">
        <v>64</v>
      </c>
      <c r="E28" s="52" t="str">
        <f>IF(C28="","",Menu!$C$10)</f>
        <v/>
      </c>
      <c r="F28" s="52" t="str">
        <f t="shared" si="6"/>
        <v/>
      </c>
      <c r="G28" s="66" t="str">
        <f t="shared" si="7"/>
        <v/>
      </c>
      <c r="H28" s="57" t="s">
        <v>51</v>
      </c>
      <c r="I28" s="57" t="str">
        <f t="shared" si="3"/>
        <v/>
      </c>
    </row>
    <row r="29" spans="1:9" x14ac:dyDescent="0.15">
      <c r="A29" s="61" t="str">
        <f t="shared" si="2"/>
        <v/>
      </c>
      <c r="B29" s="52">
        <v>12</v>
      </c>
      <c r="C29" s="52" t="str">
        <f>IF(B29&lt;=男子!$C$30,予処理!B29,"")</f>
        <v/>
      </c>
      <c r="D29" s="51" t="s">
        <v>64</v>
      </c>
      <c r="E29" s="52" t="str">
        <f>IF(C29="","",Menu!$C$10)</f>
        <v/>
      </c>
      <c r="F29" s="52" t="str">
        <f t="shared" si="6"/>
        <v/>
      </c>
      <c r="G29" s="66" t="str">
        <f t="shared" si="7"/>
        <v/>
      </c>
      <c r="H29" s="57" t="s">
        <v>51</v>
      </c>
      <c r="I29" s="57" t="str">
        <f t="shared" si="3"/>
        <v/>
      </c>
    </row>
    <row r="30" spans="1:9" x14ac:dyDescent="0.15">
      <c r="A30" s="61" t="str">
        <f t="shared" si="2"/>
        <v/>
      </c>
      <c r="B30" s="52">
        <v>13</v>
      </c>
      <c r="C30" s="52" t="str">
        <f>IF(B30&lt;=男子!$C$30,予処理!B30,"")</f>
        <v/>
      </c>
      <c r="D30" s="51" t="s">
        <v>64</v>
      </c>
      <c r="E30" s="52" t="str">
        <f>IF(C30="","",Menu!$C$10)</f>
        <v/>
      </c>
      <c r="F30" s="52" t="str">
        <f t="shared" si="6"/>
        <v/>
      </c>
      <c r="G30" s="66" t="str">
        <f t="shared" si="7"/>
        <v/>
      </c>
      <c r="H30" s="57" t="s">
        <v>51</v>
      </c>
      <c r="I30" s="57" t="str">
        <f t="shared" si="3"/>
        <v/>
      </c>
    </row>
    <row r="31" spans="1:9" x14ac:dyDescent="0.15">
      <c r="A31" s="61" t="str">
        <f t="shared" si="2"/>
        <v/>
      </c>
      <c r="B31" s="52">
        <v>14</v>
      </c>
      <c r="C31" s="52" t="str">
        <f>IF(B31&lt;=男子!$C$30,予処理!B31,"")</f>
        <v/>
      </c>
      <c r="D31" s="51" t="s">
        <v>64</v>
      </c>
      <c r="E31" s="52" t="str">
        <f>IF(C31="","",Menu!$C$10)</f>
        <v/>
      </c>
      <c r="F31" s="52" t="str">
        <f t="shared" si="6"/>
        <v/>
      </c>
      <c r="G31" s="66" t="str">
        <f t="shared" si="7"/>
        <v/>
      </c>
      <c r="H31" s="57" t="s">
        <v>51</v>
      </c>
      <c r="I31" s="57" t="str">
        <f t="shared" si="3"/>
        <v/>
      </c>
    </row>
    <row r="32" spans="1:9" x14ac:dyDescent="0.15">
      <c r="A32" s="61" t="str">
        <f t="shared" si="2"/>
        <v/>
      </c>
      <c r="B32" s="52">
        <v>15</v>
      </c>
      <c r="C32" s="52" t="str">
        <f>IF(B32&lt;=男子!$C$30,予処理!B32,"")</f>
        <v/>
      </c>
      <c r="D32" s="51" t="s">
        <v>64</v>
      </c>
      <c r="E32" s="52" t="str">
        <f>IF(C32="","",Menu!$C$10)</f>
        <v/>
      </c>
      <c r="F32" s="52" t="str">
        <f t="shared" si="6"/>
        <v/>
      </c>
      <c r="G32" s="66" t="str">
        <f t="shared" si="7"/>
        <v/>
      </c>
      <c r="H32" s="57" t="s">
        <v>51</v>
      </c>
      <c r="I32" s="57" t="str">
        <f t="shared" si="3"/>
        <v/>
      </c>
    </row>
    <row r="33" spans="1:9" x14ac:dyDescent="0.15">
      <c r="A33" s="61" t="str">
        <f t="shared" si="2"/>
        <v/>
      </c>
      <c r="B33" s="52">
        <v>16</v>
      </c>
      <c r="C33" s="52" t="str">
        <f>IF(B33&lt;=男子!$C$30,予処理!B33,"")</f>
        <v/>
      </c>
      <c r="D33" s="51" t="s">
        <v>64</v>
      </c>
      <c r="E33" s="52" t="str">
        <f>IF(C33="","",Menu!$C$10)</f>
        <v/>
      </c>
      <c r="F33" s="52" t="str">
        <f t="shared" si="6"/>
        <v/>
      </c>
      <c r="G33" s="66" t="str">
        <f t="shared" si="7"/>
        <v/>
      </c>
      <c r="H33" s="57" t="s">
        <v>69</v>
      </c>
      <c r="I33" s="57" t="str">
        <f t="shared" si="3"/>
        <v/>
      </c>
    </row>
    <row r="34" spans="1:9" x14ac:dyDescent="0.15">
      <c r="A34" s="61" t="str">
        <f t="shared" si="2"/>
        <v/>
      </c>
      <c r="B34" s="52">
        <v>1</v>
      </c>
      <c r="C34" s="52" t="str">
        <f>IF(B34&lt;=女子!$C$30,予処理!B34,"")</f>
        <v/>
      </c>
      <c r="D34" s="51" t="s">
        <v>66</v>
      </c>
      <c r="E34" s="52" t="str">
        <f>IF(C34="","",Menu!$C$10)</f>
        <v/>
      </c>
      <c r="F34" s="52" t="str">
        <f t="shared" ref="F34:F49" si="8">IF(C34="","",VLOOKUP($C34,シングル女,17,FALSE))</f>
        <v/>
      </c>
      <c r="G34" s="66" t="str">
        <f t="shared" ref="G34:G49" si="9">IF(C34="","",VLOOKUP($C34,シングル女,8,FALSE))</f>
        <v/>
      </c>
      <c r="H34" s="57" t="s">
        <v>51</v>
      </c>
      <c r="I34" s="57" t="str">
        <f t="shared" si="3"/>
        <v/>
      </c>
    </row>
    <row r="35" spans="1:9" x14ac:dyDescent="0.15">
      <c r="A35" s="61" t="str">
        <f t="shared" si="2"/>
        <v/>
      </c>
      <c r="B35" s="52">
        <v>2</v>
      </c>
      <c r="C35" s="52" t="str">
        <f>IF(B35&lt;=女子!$C$30,予処理!B35,"")</f>
        <v/>
      </c>
      <c r="D35" s="51" t="s">
        <v>66</v>
      </c>
      <c r="E35" s="52" t="str">
        <f>IF(C35="","",Menu!$C$10)</f>
        <v/>
      </c>
      <c r="F35" s="52" t="str">
        <f t="shared" si="8"/>
        <v/>
      </c>
      <c r="G35" s="66" t="str">
        <f t="shared" si="9"/>
        <v/>
      </c>
      <c r="H35" s="57" t="s">
        <v>51</v>
      </c>
      <c r="I35" s="57" t="str">
        <f t="shared" si="3"/>
        <v/>
      </c>
    </row>
    <row r="36" spans="1:9" x14ac:dyDescent="0.15">
      <c r="A36" s="61" t="str">
        <f t="shared" si="2"/>
        <v/>
      </c>
      <c r="B36" s="52">
        <v>3</v>
      </c>
      <c r="C36" s="52" t="str">
        <f>IF(B36&lt;=女子!$C$30,予処理!B36,"")</f>
        <v/>
      </c>
      <c r="D36" s="51" t="s">
        <v>66</v>
      </c>
      <c r="E36" s="52" t="str">
        <f>IF(C36="","",Menu!$C$10)</f>
        <v/>
      </c>
      <c r="F36" s="52" t="str">
        <f t="shared" si="8"/>
        <v/>
      </c>
      <c r="G36" s="66" t="str">
        <f t="shared" si="9"/>
        <v/>
      </c>
      <c r="H36" s="57" t="s">
        <v>51</v>
      </c>
      <c r="I36" s="57" t="str">
        <f t="shared" si="3"/>
        <v/>
      </c>
    </row>
    <row r="37" spans="1:9" x14ac:dyDescent="0.15">
      <c r="A37" s="61" t="str">
        <f t="shared" si="2"/>
        <v/>
      </c>
      <c r="B37" s="52">
        <v>4</v>
      </c>
      <c r="C37" s="52" t="str">
        <f>IF(B37&lt;=女子!$C$30,予処理!B37,"")</f>
        <v/>
      </c>
      <c r="D37" s="51" t="s">
        <v>66</v>
      </c>
      <c r="E37" s="52" t="str">
        <f>IF(C37="","",Menu!$C$10)</f>
        <v/>
      </c>
      <c r="F37" s="52" t="str">
        <f t="shared" si="8"/>
        <v/>
      </c>
      <c r="G37" s="66" t="str">
        <f t="shared" si="9"/>
        <v/>
      </c>
      <c r="H37" s="57" t="s">
        <v>51</v>
      </c>
      <c r="I37" s="57" t="str">
        <f t="shared" si="3"/>
        <v/>
      </c>
    </row>
    <row r="38" spans="1:9" x14ac:dyDescent="0.15">
      <c r="A38" s="61" t="str">
        <f t="shared" si="2"/>
        <v/>
      </c>
      <c r="B38" s="52">
        <v>5</v>
      </c>
      <c r="C38" s="52" t="str">
        <f>IF(B38&lt;=女子!$C$30,予処理!B38,"")</f>
        <v/>
      </c>
      <c r="D38" s="51" t="s">
        <v>66</v>
      </c>
      <c r="E38" s="52" t="str">
        <f>IF(C38="","",Menu!$C$10)</f>
        <v/>
      </c>
      <c r="F38" s="52" t="str">
        <f t="shared" si="8"/>
        <v/>
      </c>
      <c r="G38" s="66" t="str">
        <f t="shared" si="9"/>
        <v/>
      </c>
      <c r="H38" s="57" t="s">
        <v>51</v>
      </c>
      <c r="I38" s="57" t="str">
        <f t="shared" si="3"/>
        <v/>
      </c>
    </row>
    <row r="39" spans="1:9" x14ac:dyDescent="0.15">
      <c r="A39" s="61" t="str">
        <f t="shared" si="2"/>
        <v/>
      </c>
      <c r="B39" s="52">
        <v>6</v>
      </c>
      <c r="C39" s="52" t="str">
        <f>IF(B39&lt;=女子!$C$30,予処理!B39,"")</f>
        <v/>
      </c>
      <c r="D39" s="51" t="s">
        <v>66</v>
      </c>
      <c r="E39" s="52" t="str">
        <f>IF(C39="","",Menu!$C$10)</f>
        <v/>
      </c>
      <c r="F39" s="52" t="str">
        <f t="shared" si="8"/>
        <v/>
      </c>
      <c r="G39" s="66" t="str">
        <f t="shared" si="9"/>
        <v/>
      </c>
      <c r="H39" s="57" t="s">
        <v>69</v>
      </c>
      <c r="I39" s="57" t="str">
        <f t="shared" si="3"/>
        <v/>
      </c>
    </row>
    <row r="40" spans="1:9" x14ac:dyDescent="0.15">
      <c r="A40" s="61" t="str">
        <f t="shared" si="2"/>
        <v/>
      </c>
      <c r="B40" s="52">
        <v>7</v>
      </c>
      <c r="C40" s="52" t="str">
        <f>IF(B40&lt;=女子!$C$30,予処理!B40,"")</f>
        <v/>
      </c>
      <c r="D40" s="51" t="s">
        <v>66</v>
      </c>
      <c r="E40" s="52" t="str">
        <f>IF(C40="","",Menu!$C$10)</f>
        <v/>
      </c>
      <c r="F40" s="52" t="str">
        <f t="shared" si="8"/>
        <v/>
      </c>
      <c r="G40" s="66" t="str">
        <f t="shared" si="9"/>
        <v/>
      </c>
      <c r="H40" s="57" t="s">
        <v>51</v>
      </c>
      <c r="I40" s="57" t="str">
        <f t="shared" si="3"/>
        <v/>
      </c>
    </row>
    <row r="41" spans="1:9" x14ac:dyDescent="0.15">
      <c r="A41" s="61" t="str">
        <f t="shared" si="2"/>
        <v/>
      </c>
      <c r="B41" s="52">
        <v>8</v>
      </c>
      <c r="C41" s="52" t="str">
        <f>IF(B41&lt;=女子!$C$30,予処理!B41,"")</f>
        <v/>
      </c>
      <c r="D41" s="51" t="s">
        <v>66</v>
      </c>
      <c r="E41" s="52" t="str">
        <f>IF(C41="","",Menu!$C$10)</f>
        <v/>
      </c>
      <c r="F41" s="52" t="str">
        <f t="shared" si="8"/>
        <v/>
      </c>
      <c r="G41" s="66" t="str">
        <f t="shared" si="9"/>
        <v/>
      </c>
      <c r="H41" s="57" t="s">
        <v>51</v>
      </c>
      <c r="I41" s="57" t="str">
        <f t="shared" si="3"/>
        <v/>
      </c>
    </row>
    <row r="42" spans="1:9" x14ac:dyDescent="0.15">
      <c r="A42" s="61" t="str">
        <f t="shared" si="2"/>
        <v/>
      </c>
      <c r="B42" s="52">
        <v>9</v>
      </c>
      <c r="C42" s="52" t="str">
        <f>IF(B42&lt;=女子!$C$30,予処理!B42,"")</f>
        <v/>
      </c>
      <c r="D42" s="51" t="s">
        <v>66</v>
      </c>
      <c r="E42" s="52" t="str">
        <f>IF(C42="","",Menu!$C$10)</f>
        <v/>
      </c>
      <c r="F42" s="52" t="str">
        <f t="shared" si="8"/>
        <v/>
      </c>
      <c r="G42" s="66" t="str">
        <f t="shared" si="9"/>
        <v/>
      </c>
      <c r="H42" s="57" t="s">
        <v>51</v>
      </c>
      <c r="I42" s="57" t="str">
        <f t="shared" si="3"/>
        <v/>
      </c>
    </row>
    <row r="43" spans="1:9" x14ac:dyDescent="0.15">
      <c r="A43" s="61" t="str">
        <f t="shared" si="2"/>
        <v/>
      </c>
      <c r="B43" s="52">
        <v>10</v>
      </c>
      <c r="C43" s="52" t="str">
        <f>IF(B43&lt;=女子!$C$30,予処理!B43,"")</f>
        <v/>
      </c>
      <c r="D43" s="51" t="s">
        <v>66</v>
      </c>
      <c r="E43" s="52" t="str">
        <f>IF(C43="","",Menu!$C$10)</f>
        <v/>
      </c>
      <c r="F43" s="52" t="str">
        <f t="shared" si="8"/>
        <v/>
      </c>
      <c r="G43" s="66" t="str">
        <f t="shared" si="9"/>
        <v/>
      </c>
      <c r="H43" s="57" t="s">
        <v>69</v>
      </c>
      <c r="I43" s="57" t="str">
        <f t="shared" si="3"/>
        <v/>
      </c>
    </row>
    <row r="44" spans="1:9" x14ac:dyDescent="0.15">
      <c r="A44" s="61" t="str">
        <f t="shared" si="2"/>
        <v/>
      </c>
      <c r="B44" s="52">
        <v>11</v>
      </c>
      <c r="C44" s="52" t="str">
        <f>IF(B44&lt;=女子!$C$30,予処理!B44,"")</f>
        <v/>
      </c>
      <c r="D44" s="51" t="s">
        <v>66</v>
      </c>
      <c r="E44" s="52" t="str">
        <f>IF(C44="","",Menu!$C$10)</f>
        <v/>
      </c>
      <c r="F44" s="52" t="str">
        <f t="shared" si="8"/>
        <v/>
      </c>
      <c r="G44" s="66" t="str">
        <f t="shared" si="9"/>
        <v/>
      </c>
      <c r="H44" s="57" t="s">
        <v>51</v>
      </c>
      <c r="I44" s="57" t="str">
        <f t="shared" si="3"/>
        <v/>
      </c>
    </row>
    <row r="45" spans="1:9" x14ac:dyDescent="0.15">
      <c r="A45" s="61" t="str">
        <f t="shared" si="2"/>
        <v/>
      </c>
      <c r="B45" s="52">
        <v>12</v>
      </c>
      <c r="C45" s="52" t="str">
        <f>IF(B45&lt;=女子!$C$30,予処理!B45,"")</f>
        <v/>
      </c>
      <c r="D45" s="51" t="s">
        <v>66</v>
      </c>
      <c r="E45" s="52" t="str">
        <f>IF(C45="","",Menu!$C$10)</f>
        <v/>
      </c>
      <c r="F45" s="52" t="str">
        <f t="shared" si="8"/>
        <v/>
      </c>
      <c r="G45" s="66" t="str">
        <f t="shared" si="9"/>
        <v/>
      </c>
      <c r="H45" s="57" t="s">
        <v>51</v>
      </c>
      <c r="I45" s="57" t="str">
        <f t="shared" si="3"/>
        <v/>
      </c>
    </row>
    <row r="46" spans="1:9" x14ac:dyDescent="0.15">
      <c r="A46" s="61" t="str">
        <f t="shared" si="2"/>
        <v/>
      </c>
      <c r="B46" s="52">
        <v>13</v>
      </c>
      <c r="C46" s="52" t="str">
        <f>IF(B46&lt;=女子!$C$30,予処理!B46,"")</f>
        <v/>
      </c>
      <c r="D46" s="51" t="s">
        <v>66</v>
      </c>
      <c r="E46" s="52" t="str">
        <f>IF(C46="","",Menu!$C$10)</f>
        <v/>
      </c>
      <c r="F46" s="52" t="str">
        <f t="shared" si="8"/>
        <v/>
      </c>
      <c r="G46" s="66" t="str">
        <f t="shared" si="9"/>
        <v/>
      </c>
      <c r="H46" s="57" t="s">
        <v>69</v>
      </c>
      <c r="I46" s="57" t="str">
        <f t="shared" si="3"/>
        <v/>
      </c>
    </row>
    <row r="47" spans="1:9" x14ac:dyDescent="0.15">
      <c r="A47" s="61" t="str">
        <f t="shared" si="2"/>
        <v/>
      </c>
      <c r="B47" s="52">
        <v>14</v>
      </c>
      <c r="C47" s="52" t="str">
        <f>IF(B47&lt;=女子!$C$30,予処理!B47,"")</f>
        <v/>
      </c>
      <c r="D47" s="51" t="s">
        <v>66</v>
      </c>
      <c r="E47" s="52" t="str">
        <f>IF(C47="","",Menu!$C$10)</f>
        <v/>
      </c>
      <c r="F47" s="52" t="str">
        <f t="shared" si="8"/>
        <v/>
      </c>
      <c r="G47" s="66" t="str">
        <f t="shared" si="9"/>
        <v/>
      </c>
      <c r="H47" s="57" t="s">
        <v>51</v>
      </c>
      <c r="I47" s="57" t="str">
        <f t="shared" si="3"/>
        <v/>
      </c>
    </row>
    <row r="48" spans="1:9" x14ac:dyDescent="0.15">
      <c r="A48" s="61" t="str">
        <f t="shared" si="2"/>
        <v/>
      </c>
      <c r="B48" s="52">
        <v>15</v>
      </c>
      <c r="C48" s="52" t="str">
        <f>IF(B48&lt;=女子!$C$30,予処理!B48,"")</f>
        <v/>
      </c>
      <c r="D48" s="51" t="s">
        <v>66</v>
      </c>
      <c r="E48" s="52" t="str">
        <f>IF(C48="","",Menu!$C$10)</f>
        <v/>
      </c>
      <c r="F48" s="52" t="str">
        <f t="shared" si="8"/>
        <v/>
      </c>
      <c r="G48" s="66" t="str">
        <f t="shared" si="9"/>
        <v/>
      </c>
      <c r="H48" s="57" t="s">
        <v>51</v>
      </c>
      <c r="I48" s="57" t="str">
        <f t="shared" si="3"/>
        <v/>
      </c>
    </row>
    <row r="49" spans="1:9" ht="14.25" thickBot="1" x14ac:dyDescent="0.2">
      <c r="A49" s="62" t="str">
        <f t="shared" si="2"/>
        <v/>
      </c>
      <c r="B49" s="54">
        <v>16</v>
      </c>
      <c r="C49" s="54" t="str">
        <f>IF(B49&lt;=女子!$C$30,予処理!B49,"")</f>
        <v/>
      </c>
      <c r="D49" s="63" t="s">
        <v>66</v>
      </c>
      <c r="E49" s="54" t="str">
        <f>IF(C49="","",Menu!$C$10)</f>
        <v/>
      </c>
      <c r="F49" s="54" t="str">
        <f t="shared" si="8"/>
        <v/>
      </c>
      <c r="G49" s="67" t="str">
        <f t="shared" si="9"/>
        <v/>
      </c>
      <c r="H49" s="58" t="s">
        <v>51</v>
      </c>
      <c r="I49" s="58"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宮崎県教育庁</cp:lastModifiedBy>
  <cp:lastPrinted>2018-01-14T23:40:16Z</cp:lastPrinted>
  <dcterms:created xsi:type="dcterms:W3CDTF">2010-04-20T08:45:06Z</dcterms:created>
  <dcterms:modified xsi:type="dcterms:W3CDTF">2018-01-14T23:40:22Z</dcterms:modified>
</cp:coreProperties>
</file>