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5" windowWidth="15480" windowHeight="11130" activeTab="0"/>
  </bookViews>
  <sheets>
    <sheet name="Menu" sheetId="1" r:id="rId1"/>
    <sheet name="男子申込" sheetId="2" r:id="rId2"/>
    <sheet name="女子申込" sheetId="3" r:id="rId3"/>
    <sheet name="処理用" sheetId="4" r:id="rId4"/>
  </sheets>
  <definedNames>
    <definedName name="_xlnm.Print_Area" localSheetId="2">'女子申込'!$E$1:$N$36</definedName>
    <definedName name="_xlnm.Print_Area" localSheetId="1">'男子申込'!$E$1:$N$36</definedName>
  </definedNames>
  <calcPr fullCalcOnLoad="1"/>
</workbook>
</file>

<file path=xl/comments2.xml><?xml version="1.0" encoding="utf-8"?>
<comments xmlns="http://schemas.openxmlformats.org/spreadsheetml/2006/main">
  <authors>
    <author>食品科学科</author>
    <author>Hirakawa Koichi</author>
    <author>西谷　恵美</author>
  </authors>
  <commentList>
    <comment ref="J10" authorId="0">
      <text>
        <r>
          <rPr>
            <sz val="9"/>
            <rFont val="ＭＳ Ｐゴシック"/>
            <family val="3"/>
          </rPr>
          <t>団体戦出場者に
　　○　印をつける</t>
        </r>
      </text>
    </comment>
    <comment ref="K10" authorId="1">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1">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2">
      <text>
        <r>
          <rPr>
            <sz val="9"/>
            <rFont val="ＭＳ Ｐゴシック"/>
            <family val="3"/>
          </rPr>
          <t xml:space="preserve">申込を行う大会を選択して下さい。
</t>
        </r>
      </text>
    </comment>
  </commentList>
</comments>
</file>

<file path=xl/comments3.xml><?xml version="1.0" encoding="utf-8"?>
<comments xmlns="http://schemas.openxmlformats.org/spreadsheetml/2006/main">
  <authors>
    <author>Hirakawa Koichi</author>
    <author>西谷　恵美</author>
    <author>食品科学科</author>
  </authors>
  <commentList>
    <comment ref="K10" authorId="0">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0">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1">
      <text>
        <r>
          <rPr>
            <sz val="9"/>
            <rFont val="ＭＳ Ｐゴシック"/>
            <family val="3"/>
          </rPr>
          <t xml:space="preserve">申込を行う大会を選択して下さい。
</t>
        </r>
      </text>
    </comment>
    <comment ref="J10" authorId="2">
      <text>
        <r>
          <rPr>
            <sz val="9"/>
            <rFont val="ＭＳ Ｐゴシック"/>
            <family val="3"/>
          </rPr>
          <t>団体戦出場者に
　　○　印をつける</t>
        </r>
      </text>
    </comment>
  </commentList>
</comments>
</file>

<file path=xl/sharedStrings.xml><?xml version="1.0" encoding="utf-8"?>
<sst xmlns="http://schemas.openxmlformats.org/spreadsheetml/2006/main" count="143" uniqueCount="79">
  <si>
    <t>選手名</t>
  </si>
  <si>
    <t>学年</t>
  </si>
  <si>
    <t>備考</t>
  </si>
  <si>
    <t>学校名：</t>
  </si>
  <si>
    <t>所在地：</t>
  </si>
  <si>
    <t>　上記の者は本校の生徒で、標記大会に出場することを認め、参加申し込みをいたします。</t>
  </si>
  <si>
    <t>平成　　　　　年　　　　月　　　　日</t>
  </si>
  <si>
    <t>参加合計</t>
  </si>
  <si>
    <t>団体戦</t>
  </si>
  <si>
    <t>ダブルス</t>
  </si>
  <si>
    <t>個人戦</t>
  </si>
  <si>
    <t>監督名</t>
  </si>
  <si>
    <t>学校名</t>
  </si>
  <si>
    <t>男子</t>
  </si>
  <si>
    <t>参加</t>
  </si>
  <si>
    <t>不参加</t>
  </si>
  <si>
    <t>女子</t>
  </si>
  <si>
    <t>W確認</t>
  </si>
  <si>
    <t>戻る</t>
  </si>
  <si>
    <t>校長名</t>
  </si>
  <si>
    <t>住所</t>
  </si>
  <si>
    <t>郵便番号</t>
  </si>
  <si>
    <t>男子監督名</t>
  </si>
  <si>
    <t>女子監督名</t>
  </si>
  <si>
    <t>学校名略称</t>
  </si>
  <si>
    <t>※</t>
  </si>
  <si>
    <t>電　話：</t>
  </si>
  <si>
    <t>電話番号</t>
  </si>
  <si>
    <t>FAX</t>
  </si>
  <si>
    <t>学校番号</t>
  </si>
  <si>
    <t>監督</t>
  </si>
  <si>
    <t>引率責任者：</t>
  </si>
  <si>
    <t>　高体連個人情報に関する保護方針を承諾したうえで参加申し込みすることに同意します。</t>
  </si>
  <si>
    <t>引率責任者</t>
  </si>
  <si>
    <t>←監督は１名</t>
  </si>
  <si>
    <t>ふりがな</t>
  </si>
  <si>
    <t>※</t>
  </si>
  <si>
    <t>ダブルス</t>
  </si>
  <si>
    <t>ＦＡＸ：</t>
  </si>
  <si>
    <t>no.</t>
  </si>
  <si>
    <t>県高校総体締切日</t>
  </si>
  <si>
    <t>一年生大会締切日</t>
  </si>
  <si>
    <t>県新人大会締切日</t>
  </si>
  <si>
    <t>（４組）</t>
  </si>
  <si>
    <t>団体</t>
  </si>
  <si>
    <t>ダブルス</t>
  </si>
  <si>
    <t>シングルス</t>
  </si>
  <si>
    <t>ＦＡＸ：</t>
  </si>
  <si>
    <t>←監督は１名です。</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</si>
  <si>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</si>
  <si>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</si>
  <si>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</si>
  <si>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</si>
  <si>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＝設定メニュー＝</t>
  </si>
  <si>
    <t>no.</t>
  </si>
  <si>
    <t>処理用!A1</t>
  </si>
  <si>
    <t>まず、下記の欄に必要事項を入力してから、申込ボタンを押してください。（○を書き換えてください）</t>
  </si>
  <si>
    <t>８　総体テニス競技参加申込書</t>
  </si>
  <si>
    <t>８　一年生テニス競技参加申込書</t>
  </si>
  <si>
    <t>８　新人テニス競技参加申込書</t>
  </si>
  <si>
    <t>（６名）</t>
  </si>
  <si>
    <t>（９名）</t>
  </si>
  <si>
    <t>ふりがな</t>
  </si>
  <si>
    <t>シングルス</t>
  </si>
  <si>
    <t>※</t>
  </si>
  <si>
    <t>団体は、参加するものに○印をつけてください。</t>
  </si>
  <si>
    <t>選手名は強い順に記入してください。</t>
  </si>
  <si>
    <t>（ダブルスのペアは同番号を記入してください）</t>
  </si>
  <si>
    <t>平成　　年　　月　　　日</t>
  </si>
  <si>
    <t>（５名）</t>
  </si>
  <si>
    <t>令和２年４月３０日（木）</t>
  </si>
  <si>
    <t>令和２年７月１７日（金）</t>
  </si>
  <si>
    <t>令和２年９月２８日（月）</t>
  </si>
  <si>
    <t>○○</t>
  </si>
  <si>
    <t>○○高等学校</t>
  </si>
  <si>
    <t>○○</t>
  </si>
  <si>
    <t>○○　○○</t>
  </si>
  <si>
    <t>○○　○○</t>
  </si>
  <si>
    <t>ダブルス(４組)、シングルス(６名)は強い順にそれぞれの欄の番号を付けてください。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</si>
</sst>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 &quot;名&quot;"/>
    <numFmt numFmtId="178" formatCode="\(#\)"/>
  </numFmts>
  <fonts count="5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u val="single"/>
      <sz val="11"/>
      <color indexed="9"/>
      <name val="ＭＳ Ｐゴシック"/>
      <family val="3"/>
    </font>
    <font>
      <sz val="16"/>
      <name val="ＭＳ 明朝"/>
      <family val="1"/>
    </font>
    <font>
      <sz val="11"/>
      <name val="ＭＳ 明朝"/>
      <family val="1"/>
    </font>
    <font>
      <b/>
      <sz val="9"/>
      <color indexed="10"/>
      <name val="ＭＳ Ｐゴシック"/>
      <family val="3"/>
    </font>
    <font>
      <sz val="10"/>
      <name val="ＭＳ 明朝"/>
      <family val="1"/>
    </font>
    <font>
      <sz val="12"/>
      <name val="ＭＳ 明朝"/>
      <family val="1"/>
    </font>
    <font>
      <b/>
      <sz val="22"/>
      <name val="ＭＳ 明朝"/>
      <family val="1"/>
    </font>
    <font>
      <b/>
      <sz val="11"/>
      <name val="ＭＳ 明朝"/>
      <family val="1"/>
    </font>
    <font>
      <sz val="8"/>
      <name val="ＭＳ 明朝"/>
      <family val="1"/>
    </font>
    <font>
      <sz val="6"/>
      <name val="ＭＳ 明朝"/>
      <family val="1"/>
    </font>
    <font>
      <sz val="18"/>
      <name val="ＭＳ Ｐゴシック"/>
      <family val="3"/>
    </font>
    <font>
      <u val="single"/>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style="thin"/>
      <top style="medium"/>
      <bottom style="thin"/>
    </border>
    <border>
      <left style="thin"/>
      <right style="thin"/>
      <top style="medium"/>
      <bottom>
        <color indexed="63"/>
      </bottom>
    </border>
    <border>
      <left style="thin"/>
      <right style="thin"/>
      <top>
        <color indexed="63"/>
      </top>
      <bottom style="double"/>
    </border>
    <border>
      <left style="medium"/>
      <right style="thin"/>
      <top>
        <color indexed="63"/>
      </top>
      <bottom style="medium"/>
    </border>
    <border>
      <left>
        <color indexed="63"/>
      </left>
      <right style="thin"/>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18">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0" borderId="0" xfId="43" applyAlignment="1" applyProtection="1">
      <alignment vertical="center"/>
      <protection hidden="1"/>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hidden="1"/>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right" vertical="center"/>
    </xf>
    <xf numFmtId="0" fontId="9" fillId="0" borderId="0" xfId="0" applyFont="1" applyAlignment="1" applyProtection="1">
      <alignment horizontal="left" vertical="center"/>
      <protection locked="0"/>
    </xf>
    <xf numFmtId="0" fontId="9" fillId="0" borderId="2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8" xfId="0" applyFont="1" applyBorder="1" applyAlignment="1">
      <alignment horizontal="distributed" vertical="center"/>
    </xf>
    <xf numFmtId="0" fontId="13" fillId="0" borderId="28" xfId="0" applyFont="1" applyBorder="1" applyAlignment="1">
      <alignment horizontal="center" vertical="center" wrapText="1"/>
    </xf>
    <xf numFmtId="0" fontId="5" fillId="0" borderId="0" xfId="43" applyFont="1" applyAlignment="1" applyProtection="1">
      <alignment vertical="center"/>
      <protection/>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3" xfId="0" applyBorder="1" applyAlignment="1" applyProtection="1">
      <alignment vertical="center"/>
      <protection locked="0"/>
    </xf>
    <xf numFmtId="58" fontId="0" fillId="0" borderId="13" xfId="0" applyNumberFormat="1" applyBorder="1" applyAlignment="1" applyProtection="1">
      <alignment vertical="center"/>
      <protection locked="0"/>
    </xf>
    <xf numFmtId="178" fontId="0" fillId="0" borderId="14"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0" fontId="10" fillId="0" borderId="24"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4" fillId="0" borderId="29" xfId="0" applyFont="1" applyBorder="1" applyAlignment="1">
      <alignment horizontal="center" vertical="center" wrapText="1"/>
    </xf>
    <xf numFmtId="0" fontId="0" fillId="0" borderId="0" xfId="0" applyAlignment="1">
      <alignment horizontal="distributed" vertical="center"/>
    </xf>
    <xf numFmtId="0" fontId="0" fillId="33" borderId="13" xfId="0" applyFill="1" applyBorder="1" applyAlignment="1">
      <alignment horizontal="distributed" vertical="center"/>
    </xf>
    <xf numFmtId="0" fontId="0" fillId="34" borderId="13" xfId="0" applyFill="1" applyBorder="1" applyAlignment="1">
      <alignment horizontal="distributed" vertical="center" indent="1"/>
    </xf>
    <xf numFmtId="0" fontId="0" fillId="0" borderId="0" xfId="0" applyAlignment="1">
      <alignment horizontal="distributed" vertical="center" indent="1"/>
    </xf>
    <xf numFmtId="0" fontId="9" fillId="0" borderId="30" xfId="0" applyFont="1" applyBorder="1" applyAlignment="1">
      <alignment horizontal="center" vertical="center"/>
    </xf>
    <xf numFmtId="0" fontId="3" fillId="0" borderId="0" xfId="43" applyAlignment="1" applyProtection="1">
      <alignment vertical="center"/>
      <protection/>
    </xf>
    <xf numFmtId="0" fontId="7" fillId="0" borderId="16"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17" fillId="0" borderId="0" xfId="0" applyFont="1" applyAlignment="1">
      <alignment vertical="center"/>
    </xf>
    <xf numFmtId="0" fontId="17" fillId="0" borderId="0" xfId="0" applyFont="1" applyAlignment="1">
      <alignment horizontal="center" vertical="center"/>
    </xf>
    <xf numFmtId="58" fontId="17" fillId="0" borderId="0" xfId="0" applyNumberFormat="1" applyFont="1" applyAlignment="1">
      <alignment horizontal="left" vertical="center"/>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9" fillId="0" borderId="18" xfId="0" applyFont="1" applyBorder="1" applyAlignment="1">
      <alignment horizontal="center" vertical="center"/>
    </xf>
    <xf numFmtId="0" fontId="7" fillId="0" borderId="1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58" fontId="9" fillId="0" borderId="0" xfId="0" applyNumberFormat="1" applyFont="1" applyAlignment="1" applyProtection="1">
      <alignment vertical="center"/>
      <protection locked="0"/>
    </xf>
    <xf numFmtId="0" fontId="0" fillId="0" borderId="11"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5" fillId="0" borderId="0" xfId="0" applyFont="1" applyAlignment="1" quotePrefix="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9" fillId="0" borderId="32"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6" fillId="0" borderId="0" xfId="0" applyFont="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177" fontId="9" fillId="0" borderId="36" xfId="0" applyNumberFormat="1" applyFont="1" applyBorder="1" applyAlignment="1" applyProtection="1">
      <alignment horizontal="center" vertical="center"/>
      <protection hidden="1"/>
    </xf>
    <xf numFmtId="177" fontId="9" fillId="0" borderId="37"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center" vertical="center"/>
    </xf>
    <xf numFmtId="0" fontId="0" fillId="35" borderId="27" xfId="0" applyFill="1" applyBorder="1" applyAlignment="1" applyProtection="1">
      <alignment horizontal="center" vertical="center"/>
      <protection hidden="1"/>
    </xf>
    <xf numFmtId="0" fontId="0" fillId="35" borderId="42" xfId="0" applyFill="1" applyBorder="1" applyAlignment="1" applyProtection="1">
      <alignment horizontal="center" vertical="center"/>
      <protection hidden="1"/>
    </xf>
    <xf numFmtId="0" fontId="0" fillId="35" borderId="22" xfId="0"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42"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6" borderId="27" xfId="0" applyFill="1" applyBorder="1" applyAlignment="1" applyProtection="1">
      <alignment horizontal="center" vertical="center"/>
      <protection hidden="1"/>
    </xf>
    <xf numFmtId="0" fontId="0" fillId="36" borderId="42" xfId="0" applyFill="1" applyBorder="1" applyAlignment="1" applyProtection="1">
      <alignment horizontal="center" vertical="center"/>
      <protection hidden="1"/>
    </xf>
    <xf numFmtId="0" fontId="0" fillId="36" borderId="2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5"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30007;&#23376;&#30003;&#36796;!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xdr:row>
      <xdr:rowOff>9525</xdr:rowOff>
    </xdr:from>
    <xdr:to>
      <xdr:col>3</xdr:col>
      <xdr:colOff>1866900</xdr:colOff>
      <xdr:row>3</xdr:row>
      <xdr:rowOff>247650</xdr:rowOff>
    </xdr:to>
    <xdr:sp>
      <xdr:nvSpPr>
        <xdr:cNvPr id="1" name="AutoShape 1">
          <a:hlinkClick r:id="rId1"/>
        </xdr:cNvPr>
        <xdr:cNvSpPr>
          <a:spLocks/>
        </xdr:cNvSpPr>
      </xdr:nvSpPr>
      <xdr:spPr>
        <a:xfrm>
          <a:off x="4572000" y="7429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a:t>
          </a:r>
        </a:p>
      </xdr:txBody>
    </xdr:sp>
    <xdr:clientData/>
  </xdr:twoCellAnchor>
  <xdr:twoCellAnchor>
    <xdr:from>
      <xdr:col>3</xdr:col>
      <xdr:colOff>523875</xdr:colOff>
      <xdr:row>5</xdr:row>
      <xdr:rowOff>38100</xdr:rowOff>
    </xdr:from>
    <xdr:to>
      <xdr:col>3</xdr:col>
      <xdr:colOff>1866900</xdr:colOff>
      <xdr:row>6</xdr:row>
      <xdr:rowOff>0</xdr:rowOff>
    </xdr:to>
    <xdr:sp>
      <xdr:nvSpPr>
        <xdr:cNvPr id="2" name="AutoShape 3">
          <a:hlinkClick r:id="rId2"/>
        </xdr:cNvPr>
        <xdr:cNvSpPr>
          <a:spLocks/>
        </xdr:cNvSpPr>
      </xdr:nvSpPr>
      <xdr:spPr>
        <a:xfrm>
          <a:off x="4572000" y="11144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1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1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22">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23">
          <a:hlinkClick r:id="rId2"/>
        </xdr:cNvPr>
        <xdr:cNvSpPr>
          <a:spLocks/>
        </xdr:cNvSpPr>
      </xdr:nvSpPr>
      <xdr:spPr>
        <a:xfrm>
          <a:off x="6657975" y="3962400"/>
          <a:ext cx="1971675" cy="2952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6">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7">
          <a:hlinkClick r:id="rId2"/>
        </xdr:cNvPr>
        <xdr:cNvSpPr>
          <a:spLocks/>
        </xdr:cNvSpPr>
      </xdr:nvSpPr>
      <xdr:spPr>
        <a:xfrm>
          <a:off x="6657975" y="3962400"/>
          <a:ext cx="1971675" cy="29527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38"/>
  <sheetViews>
    <sheetView showGridLines="0" showRowColHeaders="0" tabSelected="1" zoomScale="75" zoomScaleNormal="75" zoomScalePageLayoutView="0" workbookViewId="0" topLeftCell="A1">
      <pane ySplit="30" topLeftCell="A69" activePane="bottomLeft" state="frozen"/>
      <selection pane="topLeft" activeCell="A1" sqref="A1"/>
      <selection pane="bottomLeft" activeCell="A1" sqref="A1"/>
    </sheetView>
  </sheetViews>
  <sheetFormatPr defaultColWidth="9.00390625" defaultRowHeight="13.5"/>
  <cols>
    <col min="2" max="2" width="17.25390625" style="0" bestFit="1" customWidth="1"/>
    <col min="3" max="3" width="26.875" style="0" customWidth="1"/>
    <col min="4" max="4" width="27.875" style="0" customWidth="1"/>
  </cols>
  <sheetData>
    <row r="1" spans="2:7" ht="28.5" customHeight="1">
      <c r="B1" s="79" t="s">
        <v>53</v>
      </c>
      <c r="C1" s="80"/>
      <c r="D1" s="80"/>
      <c r="G1" s="47" t="s">
        <v>55</v>
      </c>
    </row>
    <row r="2" spans="2:4" ht="21.75" customHeight="1">
      <c r="B2" s="81" t="s">
        <v>56</v>
      </c>
      <c r="C2" s="81"/>
      <c r="D2" s="81"/>
    </row>
    <row r="3" ht="7.5" customHeight="1"/>
    <row r="4" spans="2:3" ht="21.75" customHeight="1">
      <c r="B4" s="60" t="s">
        <v>29</v>
      </c>
      <c r="C4" s="48" t="s">
        <v>73</v>
      </c>
    </row>
    <row r="5" ht="5.25" customHeight="1">
      <c r="B5" s="61"/>
    </row>
    <row r="6" spans="2:3" ht="21.75" customHeight="1">
      <c r="B6" s="60" t="s">
        <v>12</v>
      </c>
      <c r="C6" s="49" t="s">
        <v>74</v>
      </c>
    </row>
    <row r="7" ht="5.25" customHeight="1">
      <c r="B7" s="61"/>
    </row>
    <row r="8" spans="2:3" ht="21.75" customHeight="1">
      <c r="B8" s="60" t="s">
        <v>24</v>
      </c>
      <c r="C8" s="49" t="s">
        <v>75</v>
      </c>
    </row>
    <row r="9" ht="5.25" customHeight="1">
      <c r="B9" s="61"/>
    </row>
    <row r="10" spans="2:3" ht="21.75" customHeight="1">
      <c r="B10" s="60" t="s">
        <v>19</v>
      </c>
      <c r="C10" s="49" t="s">
        <v>76</v>
      </c>
    </row>
    <row r="11" ht="5.25" customHeight="1">
      <c r="B11" s="61"/>
    </row>
    <row r="12" spans="2:3" ht="21.75" customHeight="1">
      <c r="B12" s="60" t="s">
        <v>21</v>
      </c>
      <c r="C12" s="49"/>
    </row>
    <row r="13" ht="5.25" customHeight="1">
      <c r="B13" s="61"/>
    </row>
    <row r="14" spans="2:4" ht="21.75" customHeight="1">
      <c r="B14" s="60" t="s">
        <v>20</v>
      </c>
      <c r="C14" s="77"/>
      <c r="D14" s="78"/>
    </row>
    <row r="15" ht="5.25" customHeight="1">
      <c r="B15" s="61"/>
    </row>
    <row r="16" spans="2:4" ht="21.75" customHeight="1">
      <c r="B16" s="60" t="s">
        <v>27</v>
      </c>
      <c r="C16" s="50"/>
      <c r="D16" s="17"/>
    </row>
    <row r="17" spans="2:4" ht="5.25" customHeight="1">
      <c r="B17" s="61"/>
      <c r="D17" s="18"/>
    </row>
    <row r="18" spans="2:4" ht="21.75" customHeight="1">
      <c r="B18" s="60" t="s">
        <v>28</v>
      </c>
      <c r="C18" s="50"/>
      <c r="D18" s="17"/>
    </row>
    <row r="19" spans="2:4" ht="5.25" customHeight="1">
      <c r="B19" s="61"/>
      <c r="D19" s="18"/>
    </row>
    <row r="20" spans="2:3" ht="21.75" customHeight="1">
      <c r="B20" s="60" t="s">
        <v>33</v>
      </c>
      <c r="C20" s="49" t="s">
        <v>76</v>
      </c>
    </row>
    <row r="21" ht="5.25" customHeight="1">
      <c r="B21" s="61"/>
    </row>
    <row r="22" spans="2:4" ht="21.75" customHeight="1">
      <c r="B22" s="60" t="s">
        <v>22</v>
      </c>
      <c r="C22" s="49" t="s">
        <v>77</v>
      </c>
      <c r="D22" t="s">
        <v>48</v>
      </c>
    </row>
    <row r="23" ht="5.25" customHeight="1">
      <c r="B23" s="61"/>
    </row>
    <row r="24" spans="2:4" ht="21.75" customHeight="1">
      <c r="B24" s="60" t="s">
        <v>23</v>
      </c>
      <c r="C24" s="49" t="s">
        <v>76</v>
      </c>
      <c r="D24" t="s">
        <v>48</v>
      </c>
    </row>
    <row r="25" ht="13.5">
      <c r="B25" s="58"/>
    </row>
    <row r="26" spans="2:3" ht="13.5">
      <c r="B26" s="59" t="s">
        <v>40</v>
      </c>
      <c r="C26" s="51" t="s">
        <v>70</v>
      </c>
    </row>
    <row r="27" spans="2:3" ht="13.5">
      <c r="B27" s="59" t="s">
        <v>41</v>
      </c>
      <c r="C27" s="49" t="s">
        <v>71</v>
      </c>
    </row>
    <row r="28" spans="2:3" ht="13.5">
      <c r="B28" s="59" t="s">
        <v>42</v>
      </c>
      <c r="C28" s="49" t="s">
        <v>72</v>
      </c>
    </row>
    <row r="33" ht="13.5">
      <c r="B33" t="s">
        <v>49</v>
      </c>
    </row>
    <row r="34" ht="13.5">
      <c r="B34" t="s">
        <v>50</v>
      </c>
    </row>
    <row r="35" ht="13.5">
      <c r="B35" t="s">
        <v>51</v>
      </c>
    </row>
    <row r="37" ht="13.5">
      <c r="B37" t="s">
        <v>52</v>
      </c>
    </row>
    <row r="38" ht="13.5">
      <c r="C38" s="63"/>
    </row>
  </sheetData>
  <sheetProtection sheet="1" objects="1" scenarios="1"/>
  <mergeCells count="3">
    <mergeCell ref="C14:D14"/>
    <mergeCell ref="B1:D1"/>
    <mergeCell ref="B2:D2"/>
  </mergeCells>
  <hyperlinks>
    <hyperlink ref="G1" location="処理用!A1" display="処理用!A1"/>
  </hyperlinks>
  <printOptions/>
  <pageMargins left="0.787" right="0.787" top="0.984" bottom="0.984" header="0.512" footer="0.512"/>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G95"/>
  <sheetViews>
    <sheetView showGridLines="0" showRowColHeaders="0" view="pageBreakPreview" zoomScale="148" zoomScaleNormal="85" zoomScaleSheetLayoutView="148" zoomScalePageLayoutView="0" workbookViewId="0" topLeftCell="E33">
      <selection activeCell="F49" sqref="F49"/>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8" t="s">
        <v>57</v>
      </c>
      <c r="F1" s="88"/>
      <c r="G1" s="88"/>
      <c r="H1" s="88"/>
      <c r="I1" s="88"/>
      <c r="J1" s="88"/>
      <c r="K1" s="88"/>
      <c r="L1" s="88"/>
      <c r="M1" s="88"/>
      <c r="N1" s="88"/>
      <c r="O1" s="27"/>
      <c r="P1" s="27"/>
      <c r="Q1" s="27"/>
    </row>
    <row r="2" spans="5:17" ht="6" customHeight="1" thickBot="1">
      <c r="E2" s="27"/>
      <c r="F2" s="27"/>
      <c r="G2" s="27"/>
      <c r="H2" s="27"/>
      <c r="I2" s="27"/>
      <c r="J2" s="27"/>
      <c r="K2" s="27"/>
      <c r="L2" s="27"/>
      <c r="M2" s="27"/>
      <c r="N2" s="27"/>
      <c r="O2" s="27"/>
      <c r="P2" s="27"/>
      <c r="Q2" s="27"/>
    </row>
    <row r="3" spans="6:8" ht="30" customHeight="1" thickBot="1">
      <c r="F3" s="89" t="s">
        <v>13</v>
      </c>
      <c r="G3" s="90"/>
      <c r="H3" s="28"/>
    </row>
    <row r="4" spans="6:8" ht="18.75" customHeight="1">
      <c r="F4" s="29"/>
      <c r="G4" s="29"/>
      <c r="H4" s="29"/>
    </row>
    <row r="5" ht="14.25"/>
    <row r="6" ht="14.25"/>
    <row r="7" ht="14.25">
      <c r="S7" s="19" t="s">
        <v>13</v>
      </c>
    </row>
    <row r="8" ht="14.25"/>
    <row r="9" ht="15" thickBot="1">
      <c r="S9" s="19" t="s">
        <v>16</v>
      </c>
    </row>
    <row r="10" spans="6:23" ht="12.75" customHeight="1">
      <c r="F10" s="96" t="s">
        <v>39</v>
      </c>
      <c r="G10" s="98" t="s">
        <v>0</v>
      </c>
      <c r="H10" s="98" t="s">
        <v>35</v>
      </c>
      <c r="I10" s="100" t="s">
        <v>1</v>
      </c>
      <c r="J10" s="46" t="s">
        <v>44</v>
      </c>
      <c r="K10" s="46" t="s">
        <v>45</v>
      </c>
      <c r="L10" s="46" t="s">
        <v>46</v>
      </c>
      <c r="M10" s="94" t="s">
        <v>2</v>
      </c>
      <c r="U10" s="19" t="str">
        <f>IF(COUNTIF(J13:J24,"○")=VLOOKUP(E1,$G$41:$L$43,6,FALSE),"","○")</f>
        <v>○</v>
      </c>
      <c r="V10" s="19">
        <f>IF(COUNTIF($L$13:$L$24,1)&gt;=1,"",1)</f>
        <v>1</v>
      </c>
      <c r="W10" s="19">
        <f>IF(COUNTIF($K$13:$K$24,1)&gt;=2,"",1)</f>
        <v>1</v>
      </c>
    </row>
    <row r="11" spans="6:23" ht="12.75" customHeight="1" thickBot="1">
      <c r="F11" s="97"/>
      <c r="G11" s="99"/>
      <c r="H11" s="99"/>
      <c r="I11" s="101"/>
      <c r="J11" s="57" t="str">
        <f>VLOOKUP(E1,$G$41:$K$43,3,FALSE)</f>
        <v>（５名）</v>
      </c>
      <c r="K11" s="57" t="str">
        <f>VLOOKUP(E1,$G$41:$K$43,4,FALSE)</f>
        <v>（４組）</v>
      </c>
      <c r="L11" s="57" t="str">
        <f>VLOOKUP(E1,$G$41:$K$43,5,FALSE)</f>
        <v>（６名）</v>
      </c>
      <c r="M11" s="95"/>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102" t="str">
        <f>MID(E1,3,30)</f>
        <v>総体テニス競技参加申込書</v>
      </c>
      <c r="AD12" s="102"/>
    </row>
    <row r="13" spans="1:31" ht="26.25" customHeight="1" thickTop="1">
      <c r="A13" s="19">
        <f aca="true" t="shared" si="0" ref="A13:A24">IF(R13="","",RANK(R13,$R$13:$R$24,1))</f>
      </c>
      <c r="B13" s="19">
        <f aca="true" t="shared" si="1" ref="B13:B24">IF(S13="","",RANK(S13,$S$13:$S$24,1))</f>
      </c>
      <c r="C13" s="19">
        <f>IF(L13="","",L13)</f>
      </c>
      <c r="F13" s="34">
        <v>1</v>
      </c>
      <c r="G13" s="65"/>
      <c r="H13" s="56"/>
      <c r="I13" s="21"/>
      <c r="J13" s="21"/>
      <c r="K13" s="21"/>
      <c r="L13" s="21"/>
      <c r="M13" s="22"/>
      <c r="P13" s="19">
        <v>1</v>
      </c>
      <c r="Q13" s="19">
        <f>IF(COUNT(K13:L13)+COUNTA(J13)&gt;0,1,0)</f>
        <v>0</v>
      </c>
      <c r="R13" s="19">
        <f>IF(J13="○",F13,"")</f>
      </c>
      <c r="S13" s="19">
        <f>IF(K13="","",K13+F13/10)</f>
      </c>
      <c r="V13" s="19">
        <f>IF(COUNTIF($L$13:$L$24,4)&gt;=1,"",4)</f>
        <v>4</v>
      </c>
      <c r="W13" s="19">
        <f>IF(COUNTIF($K$13:$K$24,4)&gt;=2,"",4)</f>
        <v>4</v>
      </c>
      <c r="X13" s="19" t="s">
        <v>14</v>
      </c>
      <c r="AC13" s="35" t="s">
        <v>8</v>
      </c>
      <c r="AD13" s="93" t="str">
        <f>IF(COUNTA(J13:J24)&gt;0,"参加します( "&amp;COUNTA(J13:J24)&amp;" 名)","参加しません")</f>
        <v>参加しません</v>
      </c>
      <c r="AE13" s="93"/>
    </row>
    <row r="14" spans="1:31" ht="26.25" customHeight="1">
      <c r="A14" s="19">
        <f t="shared" si="0"/>
      </c>
      <c r="B14" s="19">
        <f t="shared" si="1"/>
      </c>
      <c r="C14" s="19">
        <f aca="true" t="shared" si="2" ref="C14:C24">IF(L14="","",L14)</f>
      </c>
      <c r="F14" s="36">
        <v>2</v>
      </c>
      <c r="G14" s="65"/>
      <c r="H14" s="56"/>
      <c r="I14" s="23"/>
      <c r="J14" s="23"/>
      <c r="K14" s="23"/>
      <c r="L14" s="23"/>
      <c r="M14" s="24"/>
      <c r="P14" s="19">
        <v>2</v>
      </c>
      <c r="Q14" s="19">
        <f aca="true" t="shared" si="3" ref="Q14:Q24">IF(COUNT(K14:L14)+COUNTA(J14)&gt;0,1,0)</f>
        <v>0</v>
      </c>
      <c r="R14" s="19">
        <f aca="true" t="shared" si="4" ref="R14:R24">IF(J14="○",F14,"")</f>
      </c>
      <c r="S14" s="19">
        <f aca="true" t="shared" si="5" ref="S14:S24">IF(K14="","",K14+F14/10)</f>
      </c>
      <c r="V14" s="19">
        <f>IF(COUNTIF($L$13:$L$24,5)&gt;=1,"",5)</f>
        <v>5</v>
      </c>
      <c r="W14" s="19">
        <f>IF($E$1="８　一年生テニス競技参加申込書",IF(COUNTIF($K$13:$K$24,5)&gt;=2,"",5),"")</f>
      </c>
      <c r="X14" s="19" t="s">
        <v>15</v>
      </c>
      <c r="AC14" s="35" t="s">
        <v>37</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c>
    </row>
    <row r="19" spans="1:22" ht="26.25" customHeight="1">
      <c r="A19" s="19">
        <f t="shared" si="0"/>
      </c>
      <c r="B19" s="19">
        <f t="shared" si="1"/>
      </c>
      <c r="C19" s="19">
        <f t="shared" si="2"/>
      </c>
      <c r="F19" s="36">
        <v>7</v>
      </c>
      <c r="G19" s="65"/>
      <c r="H19" s="56"/>
      <c r="I19" s="23"/>
      <c r="J19" s="23"/>
      <c r="K19" s="23"/>
      <c r="L19" s="23"/>
      <c r="M19" s="24"/>
      <c r="Q19" s="19">
        <f t="shared" si="3"/>
        <v>0</v>
      </c>
      <c r="R19" s="19">
        <f>IF(J19="○",F19,"")</f>
      </c>
      <c r="S19" s="19">
        <f t="shared" si="5"/>
      </c>
      <c r="V19" s="19">
        <f>IF($E$1="８　一年生テニス競技参加申込書",IF(COUNTIF($L$13:$L$24,10)&gt;=1,"",10),"")</f>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c>
    </row>
    <row r="21" spans="1:22" ht="26.25" customHeight="1">
      <c r="A21" s="19">
        <f t="shared" si="0"/>
      </c>
      <c r="B21" s="19">
        <f t="shared" si="1"/>
      </c>
      <c r="C21" s="19">
        <f t="shared" si="2"/>
      </c>
      <c r="F21" s="36">
        <v>9</v>
      </c>
      <c r="G21" s="65"/>
      <c r="H21" s="56"/>
      <c r="I21" s="23"/>
      <c r="J21" s="23"/>
      <c r="K21" s="23"/>
      <c r="L21" s="23"/>
      <c r="M21" s="24"/>
      <c r="Q21" s="19">
        <f t="shared" si="3"/>
        <v>0</v>
      </c>
      <c r="R21" s="19">
        <f>IF(J21="○",F21,"")</f>
      </c>
      <c r="S21" s="19">
        <f t="shared" si="5"/>
      </c>
      <c r="V21" s="19">
        <f>IF($E$1="８　一年生テニス競技参加申込書",IF(COUNTIF($L$13:$L$24,12)&gt;=1,"",12),"")</f>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c>
    </row>
    <row r="23" spans="1:22" ht="26.25" customHeight="1">
      <c r="A23" s="19" t="e">
        <f t="shared" si="0"/>
        <v>#REF!</v>
      </c>
      <c r="B23" s="19" t="e">
        <f t="shared" si="1"/>
        <v>#REF!</v>
      </c>
      <c r="C23" s="19">
        <f t="shared" si="2"/>
      </c>
      <c r="F23" s="36">
        <v>11</v>
      </c>
      <c r="G23" s="65"/>
      <c r="H23" s="56"/>
      <c r="I23" s="23"/>
      <c r="J23" s="23"/>
      <c r="K23" s="56"/>
      <c r="L23" s="23"/>
      <c r="M23" s="24"/>
      <c r="Q23" s="19">
        <f>IF(COUNT(K23:L23)+COUNTA(#REF!)&gt;0,1,0)</f>
        <v>1</v>
      </c>
      <c r="R23" s="19" t="e">
        <f>IF(#REF!="○",F23,"")</f>
        <v>#REF!</v>
      </c>
      <c r="S23" s="19" t="e">
        <f>IF(#REF!="","",#REF!+F23/10)</f>
        <v>#REF!</v>
      </c>
      <c r="V23" s="19">
        <f>IF($E$1="８　一年生テニス競技参加申込書",IF(COUNTIF($L$13:$L$24,14)&gt;=1,"",14),"")</f>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c>
    </row>
    <row r="25" spans="6:13" ht="28.5" customHeight="1" thickBot="1">
      <c r="F25" s="20"/>
      <c r="G25" s="20"/>
      <c r="H25" s="20"/>
      <c r="I25" s="20"/>
      <c r="J25" s="37"/>
      <c r="K25" s="62" t="s">
        <v>7</v>
      </c>
      <c r="L25" s="91"/>
      <c r="M25" s="92"/>
    </row>
    <row r="26" spans="6:19" ht="13.5">
      <c r="F26" s="38"/>
      <c r="G26" s="39" t="str">
        <f>"申込締切日　：　"&amp;VLOOKUP(E1,'男子申込'!$G$41:$M$43,7,FALSE)</f>
        <v>申込締切日　：　令和２年４月３０日（木）</v>
      </c>
      <c r="H26" s="39"/>
      <c r="I26" s="39"/>
      <c r="J26" s="40"/>
      <c r="K26" s="40"/>
      <c r="L26" s="40"/>
      <c r="M26" s="40"/>
      <c r="S26" s="19" t="s">
        <v>17</v>
      </c>
    </row>
    <row r="27" spans="6:13" ht="13.5">
      <c r="F27" s="38" t="s">
        <v>25</v>
      </c>
      <c r="G27" s="39" t="s">
        <v>66</v>
      </c>
      <c r="H27" s="39"/>
      <c r="I27" s="39"/>
      <c r="J27" s="40"/>
      <c r="K27" s="40"/>
      <c r="L27" s="40"/>
      <c r="M27" s="40"/>
    </row>
    <row r="28" spans="6:19" ht="13.5">
      <c r="F28" s="38" t="s">
        <v>25</v>
      </c>
      <c r="G28" s="39" t="s">
        <v>65</v>
      </c>
      <c r="H28" s="39"/>
      <c r="I28" s="39"/>
      <c r="J28" s="40"/>
      <c r="K28" s="40"/>
      <c r="L28" s="40"/>
      <c r="M28" s="40"/>
      <c r="S28" s="19">
        <f>MAX(K13:K24)</f>
        <v>0</v>
      </c>
    </row>
    <row r="29" spans="6:19" ht="13.5">
      <c r="F29" s="38" t="s">
        <v>36</v>
      </c>
      <c r="G29" s="39" t="s">
        <v>78</v>
      </c>
      <c r="H29" s="39"/>
      <c r="I29" s="39"/>
      <c r="J29" s="40"/>
      <c r="K29" s="40"/>
      <c r="L29" s="40"/>
      <c r="M29" s="40"/>
      <c r="S29" s="19">
        <f>ROUNDDOWN(COUNT(K13:K24)/2,0)</f>
        <v>0</v>
      </c>
    </row>
    <row r="30" spans="6:13" ht="13.5">
      <c r="F30" s="39"/>
      <c r="G30" s="39" t="s">
        <v>67</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76" t="s">
        <v>68</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57</v>
      </c>
      <c r="I41" s="66" t="s">
        <v>69</v>
      </c>
      <c r="J41" s="66" t="s">
        <v>43</v>
      </c>
      <c r="K41" s="66" t="s">
        <v>60</v>
      </c>
      <c r="L41" s="66">
        <v>5</v>
      </c>
      <c r="M41" s="68" t="str">
        <f>Menu!C26</f>
        <v>令和２年４月３０日（木）</v>
      </c>
    </row>
    <row r="42" spans="7:13" s="66" customFormat="1" ht="13.5" hidden="1">
      <c r="G42" s="66" t="s">
        <v>58</v>
      </c>
      <c r="I42" s="66" t="s">
        <v>60</v>
      </c>
      <c r="J42" s="66" t="s">
        <v>43</v>
      </c>
      <c r="K42" s="66" t="s">
        <v>60</v>
      </c>
      <c r="L42" s="66">
        <v>6</v>
      </c>
      <c r="M42" s="68" t="str">
        <f>Menu!C27</f>
        <v>令和２年７月１７日（金）</v>
      </c>
    </row>
    <row r="43" spans="7:13" s="66" customFormat="1" ht="13.5" hidden="1">
      <c r="G43" s="66" t="s">
        <v>59</v>
      </c>
      <c r="I43" s="66" t="s">
        <v>61</v>
      </c>
      <c r="J43" s="66" t="s">
        <v>43</v>
      </c>
      <c r="K43" s="66" t="s">
        <v>60</v>
      </c>
      <c r="L43" s="66">
        <v>9</v>
      </c>
      <c r="M43" s="68" t="str">
        <f>Menu!C28</f>
        <v>令和２年９月２８日（月）</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55</v>
      </c>
    </row>
    <row r="90" ht="14.25" thickBot="1"/>
    <row r="91" spans="29:31" ht="13.5">
      <c r="AC91" s="43" t="s">
        <v>3</v>
      </c>
      <c r="AD91" s="25" t="str">
        <f>Menu!C6</f>
        <v>○○高等学校</v>
      </c>
      <c r="AE91" s="26" t="str">
        <f>"学校番号：　"&amp;Menu!C4</f>
        <v>学校番号：　○○</v>
      </c>
    </row>
    <row r="92" spans="29:31" ht="13.5">
      <c r="AC92" s="44" t="s">
        <v>4</v>
      </c>
      <c r="AD92" s="84" t="str">
        <f>Menu!C12&amp;"　"&amp;Menu!C14</f>
        <v>　</v>
      </c>
      <c r="AE92" s="85"/>
    </row>
    <row r="93" spans="29:31" ht="13.5">
      <c r="AC93" s="44" t="s">
        <v>26</v>
      </c>
      <c r="AD93" s="86">
        <f>Menu!C16</f>
        <v>0</v>
      </c>
      <c r="AE93" s="87"/>
    </row>
    <row r="94" spans="29:31" ht="13.5">
      <c r="AC94" s="44" t="s">
        <v>38</v>
      </c>
      <c r="AD94" s="86">
        <f>Menu!C18</f>
        <v>0</v>
      </c>
      <c r="AE94" s="87"/>
    </row>
    <row r="95" spans="29:31" ht="14.25" thickBot="1">
      <c r="AC95" s="45" t="s">
        <v>31</v>
      </c>
      <c r="AD95" s="82" t="str">
        <f>Menu!C20</f>
        <v>○○　○○</v>
      </c>
      <c r="AE95" s="83"/>
    </row>
  </sheetData>
  <sheetProtection/>
  <mergeCells count="14">
    <mergeCell ref="G10:G11"/>
    <mergeCell ref="H10:H11"/>
    <mergeCell ref="I10:I11"/>
    <mergeCell ref="AC12:AD12"/>
    <mergeCell ref="AD95:AE95"/>
    <mergeCell ref="AD92:AE92"/>
    <mergeCell ref="AD93:AE93"/>
    <mergeCell ref="AD94:AE94"/>
    <mergeCell ref="E1:N1"/>
    <mergeCell ref="F3:G3"/>
    <mergeCell ref="L25:M25"/>
    <mergeCell ref="AD13:AE13"/>
    <mergeCell ref="M10:M11"/>
    <mergeCell ref="F10:F11"/>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8">
    <dataValidation allowBlank="1" showInputMessage="1" showErrorMessage="1" imeMode="on" sqref="M13:M24 G13:H24 K23"/>
    <dataValidation type="list" allowBlank="1" showInputMessage="1" showErrorMessage="1" sqref="J13:J22 J24">
      <formula1>$U$9:$U$10</formula1>
    </dataValidation>
    <dataValidation type="list" allowBlank="1" showInputMessage="1" showErrorMessage="1" imeMode="off" sqref="K13:K22 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type="list" allowBlank="1" showInputMessage="1" showErrorMessage="1" sqref="H3">
      <formula1>$S$6:$S$9</formula1>
    </dataValidation>
    <dataValidation type="list" allowBlank="1" showInputMessage="1" showErrorMessage="1" sqref="E1:N1">
      <formula1>$G$41:$G$43</formula1>
    </dataValidation>
    <dataValidation type="list" allowBlank="1" showInputMessage="1" showErrorMessage="1" imeMode="on" sqref="J23">
      <formula1>$U$9:$U$10</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AG95"/>
  <sheetViews>
    <sheetView view="pageBreakPreview" zoomScale="124" zoomScaleNormal="85" zoomScaleSheetLayoutView="124" zoomScalePageLayoutView="0" workbookViewId="0" topLeftCell="E5">
      <selection activeCell="J13" sqref="J13:J24"/>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8" t="s">
        <v>57</v>
      </c>
      <c r="F1" s="88"/>
      <c r="G1" s="88"/>
      <c r="H1" s="88"/>
      <c r="I1" s="88"/>
      <c r="J1" s="88"/>
      <c r="K1" s="88"/>
      <c r="L1" s="88"/>
      <c r="M1" s="88"/>
      <c r="N1" s="88"/>
      <c r="O1" s="27"/>
      <c r="P1" s="27"/>
      <c r="Q1" s="27"/>
    </row>
    <row r="2" spans="5:17" ht="6" customHeight="1" thickBot="1">
      <c r="E2" s="27"/>
      <c r="F2" s="27"/>
      <c r="G2" s="27"/>
      <c r="H2" s="27"/>
      <c r="I2" s="27"/>
      <c r="J2" s="27"/>
      <c r="K2" s="27"/>
      <c r="L2" s="27"/>
      <c r="M2" s="27"/>
      <c r="N2" s="27"/>
      <c r="O2" s="27"/>
      <c r="P2" s="27"/>
      <c r="Q2" s="27"/>
    </row>
    <row r="3" spans="6:8" ht="30" customHeight="1" thickBot="1">
      <c r="F3" s="89" t="s">
        <v>16</v>
      </c>
      <c r="G3" s="90"/>
      <c r="H3" s="28"/>
    </row>
    <row r="4" spans="6:8" ht="18.75" customHeight="1">
      <c r="F4" s="29"/>
      <c r="G4" s="29"/>
      <c r="H4" s="29"/>
    </row>
    <row r="5" ht="14.25"/>
    <row r="6" ht="14.25"/>
    <row r="7" ht="14.25">
      <c r="S7" s="19" t="s">
        <v>13</v>
      </c>
    </row>
    <row r="8" ht="14.25"/>
    <row r="9" ht="15" thickBot="1">
      <c r="S9" s="19" t="s">
        <v>16</v>
      </c>
    </row>
    <row r="10" spans="6:23" ht="12.75" customHeight="1">
      <c r="F10" s="96" t="s">
        <v>54</v>
      </c>
      <c r="G10" s="98" t="s">
        <v>0</v>
      </c>
      <c r="H10" s="98" t="s">
        <v>62</v>
      </c>
      <c r="I10" s="100" t="s">
        <v>1</v>
      </c>
      <c r="J10" s="46" t="s">
        <v>44</v>
      </c>
      <c r="K10" s="46" t="s">
        <v>9</v>
      </c>
      <c r="L10" s="46" t="s">
        <v>63</v>
      </c>
      <c r="M10" s="94" t="s">
        <v>2</v>
      </c>
      <c r="U10" s="19" t="str">
        <f>IF(COUNTIF(J13:J24,"○")=VLOOKUP(E1,$G$41:$L$43,6,FALSE),"","○")</f>
        <v>○</v>
      </c>
      <c r="V10" s="19">
        <f>IF(COUNTIF($L$13:$L$24,1)&gt;=1,"",1)</f>
        <v>1</v>
      </c>
      <c r="W10" s="19">
        <f>IF(COUNTIF($K$13:$K$24,1)&gt;=2,"",1)</f>
        <v>1</v>
      </c>
    </row>
    <row r="11" spans="6:23" ht="12.75" customHeight="1" thickBot="1">
      <c r="F11" s="97"/>
      <c r="G11" s="99"/>
      <c r="H11" s="99"/>
      <c r="I11" s="101"/>
      <c r="J11" s="57" t="str">
        <f>VLOOKUP(E1,$G$41:$K$43,3,FALSE)</f>
        <v>（５名）</v>
      </c>
      <c r="K11" s="57" t="str">
        <f>VLOOKUP(E1,$G$41:$K$43,4,FALSE)</f>
        <v>（４組）</v>
      </c>
      <c r="L11" s="57" t="str">
        <f>VLOOKUP(E1,$G$41:$K$43,5,FALSE)</f>
        <v>（６名）</v>
      </c>
      <c r="M11" s="95"/>
      <c r="V11" s="19">
        <f>IF(COUNTIF($L$13:$L$24,2)&gt;=1,"",2)</f>
        <v>2</v>
      </c>
      <c r="W11" s="19">
        <f>IF(COUNTIF($K$13:$K$24,2)&gt;=2,"",2)</f>
        <v>2</v>
      </c>
    </row>
    <row r="12" spans="6:30" ht="30.75" customHeight="1" thickBot="1" thickTop="1">
      <c r="F12" s="30" t="s">
        <v>30</v>
      </c>
      <c r="G12" s="54" t="str">
        <f>Menu!C22</f>
        <v>○○　○○</v>
      </c>
      <c r="H12" s="31" t="s">
        <v>34</v>
      </c>
      <c r="I12" s="32"/>
      <c r="J12" s="32"/>
      <c r="K12" s="32"/>
      <c r="L12" s="32"/>
      <c r="M12" s="33"/>
      <c r="V12" s="19">
        <f>IF(COUNTIF($L$13:$L$24,3)&gt;=1,"",3)</f>
        <v>3</v>
      </c>
      <c r="W12" s="19">
        <f>IF(COUNTIF($K$13:$K$24,3)&gt;=2,"",3)</f>
        <v>3</v>
      </c>
      <c r="AC12" s="102" t="str">
        <f>MID(E1,3,30)</f>
        <v>総体テニス競技参加申込書</v>
      </c>
      <c r="AD12" s="102"/>
    </row>
    <row r="13" spans="1:31" ht="26.25" customHeight="1" thickTop="1">
      <c r="A13" s="19">
        <f aca="true" t="shared" si="0" ref="A13:A24">IF(R13="","",RANK(R13,$R$13:$R$24,1))</f>
      </c>
      <c r="B13" s="19">
        <f aca="true" t="shared" si="1" ref="B13:B24">IF(S13="","",RANK(S13,$S$13:$S$24,1))</f>
      </c>
      <c r="C13" s="19">
        <f aca="true" t="shared" si="2" ref="C13:C24">IF(L13="","",L13)</f>
      </c>
      <c r="F13" s="34">
        <v>1</v>
      </c>
      <c r="G13" s="64"/>
      <c r="H13" s="55"/>
      <c r="I13" s="21"/>
      <c r="J13" s="21"/>
      <c r="K13" s="21"/>
      <c r="L13" s="21"/>
      <c r="M13" s="22"/>
      <c r="P13" s="19">
        <v>1</v>
      </c>
      <c r="Q13" s="19">
        <f aca="true" t="shared" si="3" ref="Q13:Q24">IF(COUNT(K13:L13)+COUNTA(J13)&gt;0,1,0)</f>
        <v>0</v>
      </c>
      <c r="R13" s="19">
        <f aca="true" t="shared" si="4" ref="R13:R24">IF(J13="○",F13,"")</f>
      </c>
      <c r="S13" s="19">
        <f aca="true" t="shared" si="5" ref="S13:S24">IF(K13="","",K13+F13/10)</f>
      </c>
      <c r="V13" s="19">
        <f>IF(COUNTIF($L$13:$L$24,4)&gt;=1,"",4)</f>
        <v>4</v>
      </c>
      <c r="W13" s="19">
        <f>IF(COUNTIF($K$13:$K$24,4)&gt;=2,"",4)</f>
        <v>4</v>
      </c>
      <c r="X13" s="19" t="s">
        <v>14</v>
      </c>
      <c r="AC13" s="35" t="s">
        <v>8</v>
      </c>
      <c r="AD13" s="93" t="str">
        <f>IF(COUNTA(J13:J24)&gt;0,"参加します( "&amp;COUNTA(J13:J24)&amp;" 名)","参加しません")</f>
        <v>参加しません</v>
      </c>
      <c r="AE13" s="93"/>
    </row>
    <row r="14" spans="1:31" ht="26.25" customHeight="1">
      <c r="A14" s="19">
        <f t="shared" si="0"/>
      </c>
      <c r="B14" s="19">
        <f t="shared" si="1"/>
      </c>
      <c r="C14" s="19">
        <f t="shared" si="2"/>
      </c>
      <c r="F14" s="36">
        <v>2</v>
      </c>
      <c r="G14" s="65"/>
      <c r="H14" s="56"/>
      <c r="I14" s="23"/>
      <c r="J14" s="23"/>
      <c r="K14" s="23"/>
      <c r="L14" s="23"/>
      <c r="M14" s="24"/>
      <c r="P14" s="19">
        <v>2</v>
      </c>
      <c r="Q14" s="19">
        <f t="shared" si="3"/>
        <v>0</v>
      </c>
      <c r="R14" s="19">
        <f t="shared" si="4"/>
      </c>
      <c r="S14" s="19">
        <f t="shared" si="5"/>
      </c>
      <c r="V14" s="19">
        <f>IF(COUNTIF($L$13:$L$24,5)&gt;=1,"",5)</f>
        <v>5</v>
      </c>
      <c r="W14" s="19">
        <f>IF($E$1="８　一年生テニス競技参加申込書",IF(COUNTIF($K$13:$K$24,5)&gt;=2,"",5),"")</f>
      </c>
      <c r="X14" s="19" t="s">
        <v>15</v>
      </c>
      <c r="AC14" s="35" t="s">
        <v>9</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c>
      <c r="AC15" s="35" t="s">
        <v>10</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c>
    </row>
    <row r="19" spans="1:22" ht="26.25" customHeight="1">
      <c r="A19" s="19">
        <f t="shared" si="0"/>
      </c>
      <c r="B19" s="19">
        <f t="shared" si="1"/>
      </c>
      <c r="C19" s="19">
        <f t="shared" si="2"/>
      </c>
      <c r="F19" s="36">
        <v>7</v>
      </c>
      <c r="G19" s="65"/>
      <c r="H19" s="56"/>
      <c r="I19" s="23"/>
      <c r="J19" s="23"/>
      <c r="K19" s="23"/>
      <c r="L19" s="23"/>
      <c r="M19" s="24"/>
      <c r="Q19" s="19">
        <f t="shared" si="3"/>
        <v>0</v>
      </c>
      <c r="R19" s="19">
        <f t="shared" si="4"/>
      </c>
      <c r="S19" s="19">
        <f t="shared" si="5"/>
      </c>
      <c r="V19" s="19">
        <f>IF($E$1="８　一年生テニス競技参加申込書",IF(COUNTIF($L$13:$L$24,10)&gt;=1,"",10),"")</f>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c>
    </row>
    <row r="21" spans="1:22" ht="26.25" customHeight="1">
      <c r="A21" s="19">
        <f t="shared" si="0"/>
      </c>
      <c r="B21" s="19">
        <f t="shared" si="1"/>
      </c>
      <c r="C21" s="19">
        <f t="shared" si="2"/>
      </c>
      <c r="F21" s="36">
        <v>9</v>
      </c>
      <c r="G21" s="65"/>
      <c r="H21" s="56"/>
      <c r="I21" s="23"/>
      <c r="J21" s="23"/>
      <c r="K21" s="23"/>
      <c r="L21" s="23"/>
      <c r="M21" s="24"/>
      <c r="Q21" s="19">
        <f t="shared" si="3"/>
        <v>0</v>
      </c>
      <c r="R21" s="19">
        <f t="shared" si="4"/>
      </c>
      <c r="S21" s="19">
        <f t="shared" si="5"/>
      </c>
      <c r="V21" s="19">
        <f>IF($E$1="８　一年生テニス競技参加申込書",IF(COUNTIF($L$13:$L$24,12)&gt;=1,"",12),"")</f>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c>
    </row>
    <row r="23" spans="1:22" ht="26.25" customHeight="1">
      <c r="A23" s="19">
        <f t="shared" si="0"/>
      </c>
      <c r="B23" s="19">
        <f t="shared" si="1"/>
      </c>
      <c r="C23" s="19">
        <f t="shared" si="2"/>
      </c>
      <c r="F23" s="36">
        <v>11</v>
      </c>
      <c r="G23" s="65"/>
      <c r="H23" s="56"/>
      <c r="I23" s="23"/>
      <c r="J23" s="23"/>
      <c r="K23" s="23"/>
      <c r="L23" s="23"/>
      <c r="M23" s="24"/>
      <c r="Q23" s="19">
        <f t="shared" si="3"/>
        <v>0</v>
      </c>
      <c r="R23" s="19">
        <f t="shared" si="4"/>
      </c>
      <c r="S23" s="19">
        <f t="shared" si="5"/>
      </c>
      <c r="V23" s="19">
        <f>IF($E$1="８　一年生テニス競技参加申込書",IF(COUNTIF($L$13:$L$24,14)&gt;=1,"",14),"")</f>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c>
    </row>
    <row r="25" spans="6:13" ht="28.5" customHeight="1" thickBot="1">
      <c r="F25" s="20"/>
      <c r="G25" s="20"/>
      <c r="H25" s="20"/>
      <c r="I25" s="20"/>
      <c r="J25" s="37"/>
      <c r="K25" s="62" t="s">
        <v>7</v>
      </c>
      <c r="L25" s="91">
        <f>SUM(Q13:Q24)</f>
        <v>0</v>
      </c>
      <c r="M25" s="92"/>
    </row>
    <row r="26" spans="6:19" ht="13.5">
      <c r="F26" s="38"/>
      <c r="G26" s="39" t="str">
        <f>"申込締切日　：　"&amp;VLOOKUP(E1,'男子申込'!$G$41:$M$43,7,FALSE)</f>
        <v>申込締切日　：　令和２年４月３０日（木）</v>
      </c>
      <c r="H26" s="39"/>
      <c r="I26" s="39"/>
      <c r="J26" s="40"/>
      <c r="K26" s="40"/>
      <c r="L26" s="40"/>
      <c r="M26" s="40"/>
      <c r="S26" s="19" t="s">
        <v>17</v>
      </c>
    </row>
    <row r="27" spans="6:13" ht="13.5">
      <c r="F27" s="38" t="s">
        <v>25</v>
      </c>
      <c r="G27" s="39" t="s">
        <v>66</v>
      </c>
      <c r="H27" s="39"/>
      <c r="I27" s="39"/>
      <c r="J27" s="40"/>
      <c r="K27" s="40"/>
      <c r="L27" s="40"/>
      <c r="M27" s="40"/>
    </row>
    <row r="28" spans="6:19" ht="13.5">
      <c r="F28" s="38" t="s">
        <v>64</v>
      </c>
      <c r="G28" s="39" t="s">
        <v>65</v>
      </c>
      <c r="H28" s="39"/>
      <c r="I28" s="39"/>
      <c r="J28" s="40"/>
      <c r="K28" s="40"/>
      <c r="L28" s="40"/>
      <c r="M28" s="40"/>
      <c r="S28" s="19">
        <f>MAX(K13:K24)</f>
        <v>0</v>
      </c>
    </row>
    <row r="29" spans="6:19" ht="13.5">
      <c r="F29" s="38" t="s">
        <v>64</v>
      </c>
      <c r="G29" s="39" t="s">
        <v>78</v>
      </c>
      <c r="H29" s="39"/>
      <c r="I29" s="39"/>
      <c r="J29" s="40"/>
      <c r="K29" s="40"/>
      <c r="L29" s="40"/>
      <c r="M29" s="40"/>
      <c r="S29" s="19">
        <f>ROUNDDOWN(COUNT(K13:K24)/2,0)</f>
        <v>0</v>
      </c>
    </row>
    <row r="30" spans="6:13" ht="13.5">
      <c r="F30" s="39"/>
      <c r="G30" s="39" t="s">
        <v>67</v>
      </c>
      <c r="H30" s="39"/>
      <c r="I30" s="39"/>
      <c r="J30" s="40"/>
      <c r="K30" s="40"/>
      <c r="L30" s="40"/>
      <c r="M30" s="40"/>
    </row>
    <row r="31" spans="6:13" ht="13.5">
      <c r="F31" s="39" t="s">
        <v>5</v>
      </c>
      <c r="G31" s="20"/>
      <c r="H31" s="20"/>
      <c r="I31" s="20"/>
      <c r="J31" s="37"/>
      <c r="K31" s="37"/>
      <c r="L31" s="37"/>
      <c r="M31" s="37"/>
    </row>
    <row r="32" spans="6:13" ht="13.5">
      <c r="F32" s="20" t="s">
        <v>32</v>
      </c>
      <c r="G32" s="39"/>
      <c r="H32" s="39"/>
      <c r="I32" s="39"/>
      <c r="J32" s="40"/>
      <c r="K32" s="40"/>
      <c r="L32" s="40"/>
      <c r="M32" s="40"/>
    </row>
    <row r="33" spans="6:13" ht="8.25" customHeight="1">
      <c r="F33" s="20"/>
      <c r="G33" s="39"/>
      <c r="H33" s="39"/>
      <c r="I33" s="39"/>
      <c r="J33" s="40"/>
      <c r="K33" s="40"/>
      <c r="L33" s="40"/>
      <c r="M33" s="40"/>
    </row>
    <row r="34" spans="6:17" ht="13.5">
      <c r="F34" s="20"/>
      <c r="G34" s="39" t="s">
        <v>6</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c r="J40" s="67"/>
      <c r="K40" s="67"/>
      <c r="L40" s="67"/>
      <c r="M40" s="67"/>
    </row>
    <row r="41" spans="7:13" s="66" customFormat="1" ht="13.5">
      <c r="G41" s="66" t="s">
        <v>57</v>
      </c>
      <c r="I41" s="66" t="s">
        <v>69</v>
      </c>
      <c r="J41" s="66" t="s">
        <v>43</v>
      </c>
      <c r="K41" s="66" t="s">
        <v>60</v>
      </c>
      <c r="L41" s="66">
        <v>5</v>
      </c>
      <c r="M41" s="68" t="str">
        <f>Menu!C26</f>
        <v>令和２年４月３０日（木）</v>
      </c>
    </row>
    <row r="42" spans="7:13" s="66" customFormat="1" ht="13.5">
      <c r="G42" s="66" t="s">
        <v>58</v>
      </c>
      <c r="I42" s="66" t="s">
        <v>60</v>
      </c>
      <c r="J42" s="66" t="s">
        <v>43</v>
      </c>
      <c r="K42" s="66" t="s">
        <v>60</v>
      </c>
      <c r="L42" s="66">
        <v>6</v>
      </c>
      <c r="M42" s="68" t="str">
        <f>Menu!C27</f>
        <v>令和２年７月１７日（金）</v>
      </c>
    </row>
    <row r="43" spans="7:13" s="66" customFormat="1" ht="13.5">
      <c r="G43" s="66" t="s">
        <v>59</v>
      </c>
      <c r="I43" s="66" t="s">
        <v>61</v>
      </c>
      <c r="J43" s="66" t="s">
        <v>43</v>
      </c>
      <c r="K43" s="66" t="s">
        <v>60</v>
      </c>
      <c r="L43" s="66">
        <v>9</v>
      </c>
      <c r="M43" s="68" t="str">
        <f>Menu!C28</f>
        <v>令和２年９月２８日（月）</v>
      </c>
    </row>
    <row r="44" spans="10:33" s="66" customFormat="1" ht="22.5" customHeight="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55</v>
      </c>
    </row>
    <row r="90" ht="14.25" thickBot="1"/>
    <row r="91" spans="29:31" ht="13.5">
      <c r="AC91" s="43" t="s">
        <v>3</v>
      </c>
      <c r="AD91" s="25" t="str">
        <f>Menu!C6</f>
        <v>○○高等学校</v>
      </c>
      <c r="AE91" s="26" t="str">
        <f>"学校番号：　"&amp;Menu!C4</f>
        <v>学校番号：　○○</v>
      </c>
    </row>
    <row r="92" spans="29:31" ht="13.5">
      <c r="AC92" s="44" t="s">
        <v>4</v>
      </c>
      <c r="AD92" s="84" t="str">
        <f>Menu!C12&amp;"　"&amp;Menu!C14</f>
        <v>　</v>
      </c>
      <c r="AE92" s="85"/>
    </row>
    <row r="93" spans="29:31" ht="13.5">
      <c r="AC93" s="44" t="s">
        <v>26</v>
      </c>
      <c r="AD93" s="86">
        <f>Menu!C16</f>
        <v>0</v>
      </c>
      <c r="AE93" s="87"/>
    </row>
    <row r="94" spans="29:31" ht="13.5">
      <c r="AC94" s="44" t="s">
        <v>47</v>
      </c>
      <c r="AD94" s="86">
        <f>Menu!C18</f>
        <v>0</v>
      </c>
      <c r="AE94" s="87"/>
    </row>
    <row r="95" spans="29:31" ht="14.25" thickBot="1">
      <c r="AC95" s="45" t="s">
        <v>31</v>
      </c>
      <c r="AD95" s="82" t="str">
        <f>Menu!C20</f>
        <v>○○　○○</v>
      </c>
      <c r="AE95" s="83"/>
    </row>
  </sheetData>
  <sheetProtection/>
  <mergeCells count="14">
    <mergeCell ref="AD95:AE95"/>
    <mergeCell ref="AD92:AE92"/>
    <mergeCell ref="AD93:AE93"/>
    <mergeCell ref="AD94:AE94"/>
    <mergeCell ref="E1:N1"/>
    <mergeCell ref="F3:G3"/>
    <mergeCell ref="L25:M25"/>
    <mergeCell ref="AD13:AE13"/>
    <mergeCell ref="M10:M11"/>
    <mergeCell ref="F10:F11"/>
    <mergeCell ref="G10:G11"/>
    <mergeCell ref="H10:H11"/>
    <mergeCell ref="I10:I11"/>
    <mergeCell ref="AC12:AD12"/>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type="list" allowBlank="1" showInputMessage="1" showErrorMessage="1" sqref="J13:J24">
      <formula1>$U$9:$U$10</formula1>
    </dataValidation>
    <dataValidation type="list" allowBlank="1" showInputMessage="1" showErrorMessage="1" imeMode="off" sqref="K13: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allowBlank="1" showInputMessage="1" showErrorMessage="1" imeMode="on" sqref="M13:M24 G13:H24"/>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4.xml><?xml version="1.0" encoding="utf-8"?>
<worksheet xmlns="http://schemas.openxmlformats.org/spreadsheetml/2006/main" xmlns:r="http://schemas.openxmlformats.org/officeDocument/2006/relationships">
  <dimension ref="B1:R29"/>
  <sheetViews>
    <sheetView showGridLines="0" zoomScalePageLayoutView="0" workbookViewId="0" topLeftCell="A1">
      <selection activeCell="C16" sqref="C16"/>
    </sheetView>
  </sheetViews>
  <sheetFormatPr defaultColWidth="9.00390625" defaultRowHeight="13.5"/>
  <cols>
    <col min="1" max="1" width="1.625" style="0" customWidth="1"/>
    <col min="2" max="2" width="7.125" style="0" bestFit="1" customWidth="1"/>
    <col min="3" max="3" width="12.875" style="0" customWidth="1"/>
    <col min="4" max="4" width="3.75390625" style="0" bestFit="1" customWidth="1"/>
    <col min="5" max="5" width="3.625" style="0" customWidth="1"/>
    <col min="6" max="6" width="3.25390625" style="0" customWidth="1"/>
    <col min="7" max="9" width="12.875" style="0" customWidth="1"/>
    <col min="10" max="10" width="3.625" style="0" customWidth="1"/>
    <col min="12" max="12" width="12.875" style="0" customWidth="1"/>
    <col min="13" max="13" width="3.75390625" style="0" bestFit="1" customWidth="1"/>
    <col min="14" max="14" width="2.875" style="0" customWidth="1"/>
    <col min="15" max="15" width="3.50390625" style="0" bestFit="1" customWidth="1"/>
    <col min="16" max="18" width="12.875" style="0" customWidth="1"/>
  </cols>
  <sheetData>
    <row r="1" spans="2:9" ht="14.25" thickBot="1">
      <c r="B1" s="1"/>
      <c r="C1" s="1"/>
      <c r="D1" s="1"/>
      <c r="E1" s="1"/>
      <c r="F1" s="1"/>
      <c r="G1" s="1"/>
      <c r="H1" s="1"/>
      <c r="I1" s="1"/>
    </row>
    <row r="2" spans="2:18" ht="13.5">
      <c r="B2" s="112" t="s">
        <v>8</v>
      </c>
      <c r="C2" s="113"/>
      <c r="D2" s="114"/>
      <c r="E2" s="1"/>
      <c r="F2" s="109" t="s">
        <v>9</v>
      </c>
      <c r="G2" s="110"/>
      <c r="H2" s="110"/>
      <c r="I2" s="111"/>
      <c r="K2" s="115" t="s">
        <v>8</v>
      </c>
      <c r="L2" s="116"/>
      <c r="M2" s="117"/>
      <c r="N2" s="1"/>
      <c r="O2" s="103" t="s">
        <v>9</v>
      </c>
      <c r="P2" s="104"/>
      <c r="Q2" s="104"/>
      <c r="R2" s="105"/>
    </row>
    <row r="3" spans="2:18" ht="13.5">
      <c r="B3" s="2" t="s">
        <v>12</v>
      </c>
      <c r="C3" s="3" t="str">
        <f>Menu!C8</f>
        <v>○○</v>
      </c>
      <c r="D3" s="4"/>
      <c r="E3" s="1"/>
      <c r="F3" s="2">
        <v>1</v>
      </c>
      <c r="G3" s="5">
        <f aca="true" t="shared" si="0" ref="G3:G10">IF(H3="","",$C$3)</f>
      </c>
      <c r="H3" s="5">
        <f>IF(ISNA(VLOOKUP($F14,'男子申込'!$B$13:$G$24,6,"false")),"",VLOOKUP(F14,'男子申込'!$B$13:$G$24,6,"false"))</f>
      </c>
      <c r="I3" s="6">
        <f>IF(ISNA(VLOOKUP($F15,'男子申込'!$B$13:$G$24,6,"false")),"",VLOOKUP(F15,'男子申込'!$B$13:$G$24,6,"false"))</f>
      </c>
      <c r="K3" s="2" t="s">
        <v>12</v>
      </c>
      <c r="L3" s="3" t="str">
        <f>Menu!C8</f>
        <v>○○</v>
      </c>
      <c r="M3" s="4"/>
      <c r="N3" s="1"/>
      <c r="O3" s="2">
        <v>1</v>
      </c>
      <c r="P3" s="5">
        <f aca="true" t="shared" si="1" ref="P3:P10">IF(Q3="","",$C$3)</f>
      </c>
      <c r="Q3" s="5">
        <f>IF(ISNA(VLOOKUP($F14,'女子申込'!$B$13:$G$24,6,"false")),"",VLOOKUP(O14,'女子申込'!$B$13:$G$24,6,"false"))</f>
      </c>
      <c r="R3" s="6">
        <f>IF(ISNA(VLOOKUP($F15,'女子申込'!$B$13:$G$24,6,"false")),"",VLOOKUP(O15,'女子申込'!$B$13:$G$24,6,"false"))</f>
      </c>
    </row>
    <row r="4" spans="2:18" ht="13.5">
      <c r="B4" s="2" t="s">
        <v>11</v>
      </c>
      <c r="C4" s="3" t="str">
        <f>'男子申込'!G12</f>
        <v>○○　○○</v>
      </c>
      <c r="D4" s="4"/>
      <c r="E4" s="1"/>
      <c r="F4" s="2">
        <v>2</v>
      </c>
      <c r="G4" s="5">
        <f t="shared" si="0"/>
      </c>
      <c r="H4" s="5">
        <f>IF(ISNA(VLOOKUP($F16,'男子申込'!$B$13:$G$24,6,"false")),"",VLOOKUP(F16,'男子申込'!$B$13:$G$24,6,"false"))</f>
      </c>
      <c r="I4" s="6">
        <f>IF(ISNA(VLOOKUP($F17,'男子申込'!$B$13:$G$24,6,"false")),"",VLOOKUP(F17,'男子申込'!$B$13:$G$24,6,"false"))</f>
      </c>
      <c r="K4" s="2" t="s">
        <v>11</v>
      </c>
      <c r="L4" s="3" t="str">
        <f>'女子申込'!G12</f>
        <v>○○　○○</v>
      </c>
      <c r="M4" s="4"/>
      <c r="N4" s="1"/>
      <c r="O4" s="2">
        <v>2</v>
      </c>
      <c r="P4" s="5">
        <f t="shared" si="1"/>
      </c>
      <c r="Q4" s="5">
        <f>IF(ISNA(VLOOKUP($F16,'女子申込'!$B$13:$G$24,6,"false")),"",VLOOKUP(O16,'女子申込'!$B$13:$G$24,6,"false"))</f>
      </c>
      <c r="R4" s="6">
        <f>IF(ISNA(VLOOKUP($F17,'女子申込'!$B$13:$G$24,6,"false")),"",VLOOKUP(O17,'女子申込'!$B$13:$G$24,6,"false"))</f>
      </c>
    </row>
    <row r="5" spans="2:18" ht="13.5">
      <c r="B5" s="7">
        <v>1</v>
      </c>
      <c r="C5" s="8">
        <f>IF(ISNA(VLOOKUP($B5,'男子申込'!$A$13:$G$24,7,"false")),"",VLOOKUP(B5,'男子申込'!$A$13:$G$24,7,"false"))</f>
      </c>
      <c r="D5" s="9">
        <f>IF(ISNA(VLOOKUP($B5,'男子申込'!$A$13:$I$24,8,"false")),"","("&amp;VLOOKUP(B5,'男子申込'!$A$13:$I$24,9,"false")&amp;")")</f>
      </c>
      <c r="E5" s="1"/>
      <c r="F5" s="2">
        <v>3</v>
      </c>
      <c r="G5" s="5">
        <f t="shared" si="0"/>
      </c>
      <c r="H5" s="5">
        <f>IF(ISNA(VLOOKUP($F18,'男子申込'!$B$13:$G$24,6,"false")),"",VLOOKUP(F18,'男子申込'!$B$13:$G$24,6,"false"))</f>
      </c>
      <c r="I5" s="6">
        <f>IF(ISNA(VLOOKUP($F19,'男子申込'!$B$13:$G$24,6,"false")),"",VLOOKUP(F19,'男子申込'!$B$13:$G$24,6,"false"))</f>
      </c>
      <c r="K5" s="7">
        <v>1</v>
      </c>
      <c r="L5" s="8">
        <f>IF(ISNA(VLOOKUP($B5,'女子申込'!$A$13:$G$24,7,"false")),"",VLOOKUP(K5,'女子申込'!$A$13:$G$24,7,"false"))</f>
      </c>
      <c r="M5" s="9">
        <f>IF(ISNA(VLOOKUP($B5,'女子申込'!$A$13:$I$24,8,"false")),"","("&amp;VLOOKUP(K5,'女子申込'!$A$13:$I$24,9,"false")&amp;")")</f>
      </c>
      <c r="N5" s="1"/>
      <c r="O5" s="2">
        <v>3</v>
      </c>
      <c r="P5" s="5">
        <f t="shared" si="1"/>
      </c>
      <c r="Q5" s="5">
        <f>IF(ISNA(VLOOKUP($F18,'女子申込'!$B$13:$G$24,6,"false")),"",VLOOKUP(O18,'女子申込'!$B$13:$G$24,6,"false"))</f>
      </c>
      <c r="R5" s="6">
        <f>IF(ISNA(VLOOKUP($F19,'女子申込'!$B$13:$G$24,6,"false")),"",VLOOKUP(O19,'女子申込'!$B$13:$G$24,6,"false"))</f>
      </c>
    </row>
    <row r="6" spans="2:18" ht="14.25" thickBot="1">
      <c r="B6" s="2">
        <v>2</v>
      </c>
      <c r="C6" s="5">
        <f>IF(ISNA(VLOOKUP($B6,'男子申込'!$A$13:$G$24,7,"false")),"",VLOOKUP(B6,'男子申込'!$A$13:$G$24,7,"false"))</f>
      </c>
      <c r="D6" s="6">
        <f>IF(ISNA(VLOOKUP($B6,'男子申込'!$A$13:$I$24,8,"false")),"","("&amp;VLOOKUP(B6,'男子申込'!$A$13:$I$24,9,"false")&amp;")")</f>
      </c>
      <c r="E6" s="1"/>
      <c r="F6" s="10">
        <v>4</v>
      </c>
      <c r="G6" s="11">
        <f t="shared" si="0"/>
      </c>
      <c r="H6" s="11">
        <f>IF(ISNA(VLOOKUP($F20,'男子申込'!$B$13:$G$24,6,"false")),"",VLOOKUP(F20,'男子申込'!$B$13:$G$24,6,"false"))</f>
      </c>
      <c r="I6" s="12">
        <f>IF(ISNA(VLOOKUP($F21,'男子申込'!$B$13:$G$24,6,"false")),"",VLOOKUP(F21,'男子申込'!$B$13:$G$24,6,"false"))</f>
      </c>
      <c r="K6" s="2">
        <v>2</v>
      </c>
      <c r="L6" s="5">
        <f>IF(ISNA(VLOOKUP($B6,'女子申込'!$A$13:$G$24,7,"false")),"",VLOOKUP(K6,'女子申込'!$A$13:$G$24,7,"false"))</f>
      </c>
      <c r="M6" s="6">
        <f>IF(ISNA(VLOOKUP($B6,'女子申込'!$A$13:$I$24,8,"false")),"","("&amp;VLOOKUP(K6,'女子申込'!$A$13:$I$24,9,"false")&amp;")")</f>
      </c>
      <c r="N6" s="1"/>
      <c r="O6" s="10">
        <v>4</v>
      </c>
      <c r="P6" s="11">
        <f t="shared" si="1"/>
      </c>
      <c r="Q6" s="11">
        <f>IF(ISNA(VLOOKUP($F20,'女子申込'!$B$13:$G$24,6,"false")),"",VLOOKUP(O20,'女子申込'!$B$13:$G$24,6,"false"))</f>
      </c>
      <c r="R6" s="12">
        <f>IF(ISNA(VLOOKUP($F21,'女子申込'!$B$13:$G$24,6,"false")),"",VLOOKUP(O21,'女子申込'!$B$13:$G$24,6,"false"))</f>
      </c>
    </row>
    <row r="7" spans="2:18" ht="13.5">
      <c r="B7" s="2">
        <v>3</v>
      </c>
      <c r="C7" s="5">
        <f>IF(ISNA(VLOOKUP($B7,'男子申込'!$A$13:$G$24,7,"false")),"",VLOOKUP(B7,'男子申込'!$A$13:$G$24,7,"false"))</f>
      </c>
      <c r="D7" s="6">
        <f>IF(ISNA(VLOOKUP($B7,'男子申込'!$A$13:$I$24,8,"false")),"","("&amp;VLOOKUP(B7,'男子申込'!$A$13:$I$24,9,"false")&amp;")")</f>
      </c>
      <c r="E7" s="1"/>
      <c r="F7" s="2">
        <v>5</v>
      </c>
      <c r="G7" s="5">
        <f t="shared" si="0"/>
      </c>
      <c r="H7" s="5">
        <f>IF(ISNA(VLOOKUP($F22,'男子申込'!$B$13:$G$24,6,"false")),"",VLOOKUP(F22,'男子申込'!$B$13:$G$24,6,"false"))</f>
      </c>
      <c r="I7" s="6">
        <f>IF(ISNA(VLOOKUP($F23,'男子申込'!$B$13:$G$24,6,"false")),"",VLOOKUP(F23,'男子申込'!$B$13:$G$24,6,"false"))</f>
      </c>
      <c r="K7" s="2">
        <v>3</v>
      </c>
      <c r="L7" s="5">
        <f>IF(ISNA(VLOOKUP($B7,'女子申込'!$A$13:$G$24,7,"false")),"",VLOOKUP(K7,'女子申込'!$A$13:$G$24,7,"false"))</f>
      </c>
      <c r="M7" s="6">
        <f>IF(ISNA(VLOOKUP($B7,'女子申込'!$A$13:$I$24,8,"false")),"","("&amp;VLOOKUP(K7,'女子申込'!$A$13:$I$24,9,"false")&amp;")")</f>
      </c>
      <c r="N7" s="1"/>
      <c r="O7" s="2">
        <v>5</v>
      </c>
      <c r="P7" s="5">
        <f t="shared" si="1"/>
      </c>
      <c r="Q7" s="5">
        <f>IF(ISNA(VLOOKUP($F22,'女子申込'!$B$13:$G$24,6,"false")),"",VLOOKUP(O22,'女子申込'!$B$13:$G$24,6,"false"))</f>
      </c>
      <c r="R7" s="6">
        <f>IF(ISNA(VLOOKUP($F23,'女子申込'!$B$13:$G$24,6,"false")),"",VLOOKUP(O23,'女子申込'!$B$13:$G$24,6,"false"))</f>
      </c>
    </row>
    <row r="8" spans="2:18" ht="13.5">
      <c r="B8" s="2">
        <v>4</v>
      </c>
      <c r="C8" s="5">
        <f>IF(ISNA(VLOOKUP($B8,'男子申込'!$A$13:$G$24,7,"false")),"",VLOOKUP(B8,'男子申込'!$A$13:$G$24,7,"false"))</f>
      </c>
      <c r="D8" s="6">
        <f>IF(ISNA(VLOOKUP($B8,'男子申込'!$A$13:$I$24,8,"false")),"","("&amp;VLOOKUP(B8,'男子申込'!$A$13:$I$24,9,"false")&amp;")")</f>
      </c>
      <c r="E8" s="1"/>
      <c r="F8" s="2">
        <v>6</v>
      </c>
      <c r="G8" s="5">
        <f t="shared" si="0"/>
      </c>
      <c r="H8" s="5">
        <f>IF(ISNA(VLOOKUP($F24,'男子申込'!$B$13:$G$24,6,"false")),"",VLOOKUP(F24,'男子申込'!$B$13:$G$24,6,"false"))</f>
      </c>
      <c r="I8" s="6">
        <f>IF(ISNA(VLOOKUP($F25,'男子申込'!$B$13:$G$24,6,"false")),"",VLOOKUP(F25,'男子申込'!$B$13:$G$24,6,"false"))</f>
      </c>
      <c r="K8" s="2">
        <v>4</v>
      </c>
      <c r="L8" s="5">
        <f>IF(ISNA(VLOOKUP($B8,'女子申込'!$A$13:$G$24,7,"false")),"",VLOOKUP(K8,'女子申込'!$A$13:$G$24,7,"false"))</f>
      </c>
      <c r="M8" s="6">
        <f>IF(ISNA(VLOOKUP($B8,'女子申込'!$A$13:$I$24,8,"false")),"","("&amp;VLOOKUP(K8,'女子申込'!$A$13:$I$24,9,"false")&amp;")")</f>
      </c>
      <c r="N8" s="1"/>
      <c r="O8" s="2">
        <v>6</v>
      </c>
      <c r="P8" s="5">
        <f t="shared" si="1"/>
      </c>
      <c r="Q8" s="5">
        <f>IF(ISNA(VLOOKUP($F24,'女子申込'!$B$13:$G$24,6,"false")),"",VLOOKUP(O24,'女子申込'!$B$13:$G$24,6,"false"))</f>
      </c>
      <c r="R8" s="6">
        <f>IF(ISNA(VLOOKUP($F25,'女子申込'!$B$13:$G$24,6,"false")),"",VLOOKUP(O25,'女子申込'!$B$13:$G$24,6,"false"))</f>
      </c>
    </row>
    <row r="9" spans="2:18" ht="13.5">
      <c r="B9" s="2">
        <v>5</v>
      </c>
      <c r="C9" s="5">
        <f>IF(ISNA(VLOOKUP($B9,'男子申込'!$A$13:$G$24,7,"false")),"",VLOOKUP(B9,'男子申込'!$A$13:$G$24,7,"false"))</f>
      </c>
      <c r="D9" s="6">
        <f>IF(ISNA(VLOOKUP($B9,'男子申込'!$A$13:$I$24,8,"false")),"","("&amp;VLOOKUP(B9,'男子申込'!$A$13:$I$24,9,"false")&amp;")")</f>
      </c>
      <c r="E9" s="1"/>
      <c r="F9" s="2">
        <v>7</v>
      </c>
      <c r="G9" s="5">
        <f t="shared" si="0"/>
      </c>
      <c r="H9" s="5">
        <f>IF(ISNA(VLOOKUP($F26,'男子申込'!$B$13:$G$24,6,"false")),"",VLOOKUP(F26,'男子申込'!$B$13:$G$24,6,"false"))</f>
      </c>
      <c r="I9" s="6">
        <f>IF(ISNA(VLOOKUP($F27,'男子申込'!$B$13:$G$24,6,"false")),"",VLOOKUP(F27,'男子申込'!$B$13:$G$24,6,"false"))</f>
      </c>
      <c r="K9" s="2">
        <v>5</v>
      </c>
      <c r="L9" s="5">
        <f>IF(ISNA(VLOOKUP($B9,'女子申込'!$A$13:$G$24,7,"false")),"",VLOOKUP(K9,'女子申込'!$A$13:$G$24,7,"false"))</f>
      </c>
      <c r="M9" s="6">
        <f>IF(ISNA(VLOOKUP($B9,'女子申込'!$A$13:$I$24,8,"false")),"","("&amp;VLOOKUP(K9,'女子申込'!$A$13:$I$24,9,"false")&amp;")")</f>
      </c>
      <c r="N9" s="1"/>
      <c r="O9" s="2">
        <v>7</v>
      </c>
      <c r="P9" s="5">
        <f t="shared" si="1"/>
      </c>
      <c r="Q9" s="5">
        <f>IF(ISNA(VLOOKUP($F26,'女子申込'!$B$13:$G$24,6,"false")),"",VLOOKUP(O26,'女子申込'!$B$13:$G$24,6,"false"))</f>
      </c>
      <c r="R9" s="6">
        <f>IF(ISNA(VLOOKUP($F27,'女子申込'!$B$13:$G$24,6,"false")),"",VLOOKUP(O27,'女子申込'!$B$13:$G$24,6,"false"))</f>
      </c>
    </row>
    <row r="10" spans="2:18" ht="14.25" thickBot="1">
      <c r="B10" s="2">
        <v>6</v>
      </c>
      <c r="C10" s="5">
        <f>IF(ISNA(VLOOKUP($B10,'男子申込'!$A$13:$G$24,7,"false")),"",VLOOKUP(B10,'男子申込'!$A$13:$G$24,7,"false"))</f>
      </c>
      <c r="D10" s="6">
        <f>IF(ISNA(VLOOKUP($B10,'男子申込'!$A$13:$I$24,8,"false")),"","("&amp;VLOOKUP(B10,'男子申込'!$A$13:$I$24,9,"false")&amp;")")</f>
      </c>
      <c r="E10" s="1"/>
      <c r="F10" s="10">
        <v>8</v>
      </c>
      <c r="G10" s="11">
        <f t="shared" si="0"/>
      </c>
      <c r="H10" s="11">
        <f>IF(ISNA(VLOOKUP($F28,'男子申込'!$B$13:$G$24,6,"false")),"",VLOOKUP(F28,'男子申込'!$B$13:$G$24,6,"false"))</f>
      </c>
      <c r="I10" s="12">
        <f>IF(ISNA(VLOOKUP($F29,'男子申込'!$B$13:$G$24,6,"false")),"",VLOOKUP(F29,'男子申込'!$B$13:$G$24,6,"false"))</f>
      </c>
      <c r="K10" s="2">
        <v>6</v>
      </c>
      <c r="L10" s="5">
        <f>IF(ISNA(VLOOKUP($B10,'女子申込'!$A$13:$G$24,7,"false")),"",VLOOKUP(K10,'女子申込'!$A$13:$G$24,7,"false"))</f>
      </c>
      <c r="M10" s="6">
        <f>IF(ISNA(VLOOKUP($B10,'女子申込'!$A$13:$I$24,8,"false")),"","("&amp;VLOOKUP(K10,'女子申込'!$A$13:$I$24,9,"false")&amp;")")</f>
      </c>
      <c r="N10" s="1"/>
      <c r="O10" s="10">
        <v>8</v>
      </c>
      <c r="P10" s="11">
        <f t="shared" si="1"/>
      </c>
      <c r="Q10" s="11">
        <f>IF(ISNA(VLOOKUP($F28,'女子申込'!$B$13:$G$24,6,"false")),"",VLOOKUP(O28,'女子申込'!$B$13:$G$24,6,"false"))</f>
      </c>
      <c r="R10" s="12">
        <f>IF(ISNA(VLOOKUP($F29,'女子申込'!$B$13:$G$24,6,"false")),"",VLOOKUP(O29,'女子申込'!$B$13:$G$24,6,"false"))</f>
      </c>
    </row>
    <row r="11" spans="2:14" ht="13.5">
      <c r="B11" s="2">
        <v>7</v>
      </c>
      <c r="C11" s="5">
        <f>IF(ISNA(VLOOKUP($B11,'男子申込'!$A$13:$G$24,7,"false")),"",VLOOKUP(B11,'男子申込'!$A$13:$G$24,7,"false"))</f>
      </c>
      <c r="D11" s="6">
        <f>IF(ISNA(VLOOKUP($B11,'男子申込'!$A$13:$I$24,8,"false")),"","("&amp;VLOOKUP(B11,'男子申込'!$A$13:$I$24,9,"false")&amp;")")</f>
      </c>
      <c r="E11" s="1"/>
      <c r="K11" s="2">
        <v>7</v>
      </c>
      <c r="L11" s="5">
        <f>IF(ISNA(VLOOKUP($B11,'女子申込'!$A$13:$G$24,7,"false")),"",VLOOKUP(K11,'女子申込'!$A$13:$G$24,7,"false"))</f>
      </c>
      <c r="M11" s="6">
        <f>IF(ISNA(VLOOKUP($B11,'女子申込'!$A$13:$I$24,8,"false")),"","("&amp;VLOOKUP(K11,'女子申込'!$A$13:$I$24,9,"false")&amp;")")</f>
      </c>
      <c r="N11" s="1"/>
    </row>
    <row r="12" spans="2:14" ht="14.25" thickBot="1">
      <c r="B12" s="10">
        <v>8</v>
      </c>
      <c r="C12" s="11">
        <f>IF(ISNA(VLOOKUP($B12,'男子申込'!$A$13:$G$24,7,"false")),"",VLOOKUP(B12,'男子申込'!$A$13:$G$24,7,"false"))</f>
      </c>
      <c r="D12" s="12">
        <f>IF(ISNA(VLOOKUP($B12,'男子申込'!$A$13:$I$24,8,"false")),"","("&amp;VLOOKUP(B12,'男子申込'!$A$13:$I$24,9,"false")&amp;")")</f>
      </c>
      <c r="E12" s="1"/>
      <c r="K12" s="10">
        <v>8</v>
      </c>
      <c r="L12" s="11">
        <f>IF(ISNA(VLOOKUP($B12,'女子申込'!$A$13:$G$24,7,"false")),"",VLOOKUP(K12,'女子申込'!$A$13:$G$24,7,"false"))</f>
      </c>
      <c r="M12" s="12">
        <f>IF(ISNA(VLOOKUP($B12,'女子申込'!$A$13:$I$24,8,"false")),"","("&amp;VLOOKUP(K12,'女子申込'!$A$13:$I$24,9,"false")&amp;")")</f>
      </c>
      <c r="N12" s="1"/>
    </row>
    <row r="13" spans="2:18" ht="13.5">
      <c r="B13" s="1"/>
      <c r="C13" s="1"/>
      <c r="D13" s="1"/>
      <c r="E13" s="1"/>
      <c r="F13" s="106" t="s">
        <v>10</v>
      </c>
      <c r="G13" s="107"/>
      <c r="H13" s="107"/>
      <c r="I13" s="108"/>
      <c r="K13" s="1"/>
      <c r="L13" s="1"/>
      <c r="M13" s="1"/>
      <c r="N13" s="1"/>
      <c r="O13" s="103" t="s">
        <v>10</v>
      </c>
      <c r="P13" s="104"/>
      <c r="Q13" s="104"/>
      <c r="R13" s="105"/>
    </row>
    <row r="14" spans="2:18" ht="13.5">
      <c r="B14" s="1"/>
      <c r="C14" s="1"/>
      <c r="D14" s="1"/>
      <c r="E14" s="1"/>
      <c r="F14" s="2">
        <v>1</v>
      </c>
      <c r="G14" s="5">
        <f>IF(H14="","",$C$3)</f>
      </c>
      <c r="H14" s="5">
        <f>IF(ISNA(VLOOKUP($F14,'男子申込'!$C$13:$G$24,5,"false")),"",VLOOKUP(F14,'男子申込'!$C$13:$G$24,5,"false"))</f>
      </c>
      <c r="I14" s="52">
        <f>IF(ISNA(VLOOKUP($F14,'男子申込'!$C$13:$J$24,7,"false")),"",VLOOKUP(F14,'男子申込'!$C$13:$J$24,7,"false"))</f>
      </c>
      <c r="K14" s="1"/>
      <c r="L14" s="1"/>
      <c r="M14" s="1"/>
      <c r="N14" s="1"/>
      <c r="O14" s="2">
        <v>1</v>
      </c>
      <c r="P14" s="5">
        <f>IF(Q14="","",$C$3)</f>
      </c>
      <c r="Q14" s="5">
        <f>IF(ISNA(VLOOKUP($F14,'女子申込'!$C$13:$G$24,5,"false")),"",VLOOKUP(O14,'女子申込'!$C$13:$G$24,5,"false"))</f>
      </c>
      <c r="R14" s="52">
        <f>IF(ISNA(VLOOKUP($F14,'女子申込'!$C$13:$J$24,7,"false")),"",VLOOKUP(O14,'女子申込'!$C$13:$J$24,7,"false"))</f>
      </c>
    </row>
    <row r="15" spans="2:18" ht="13.5">
      <c r="B15" s="1"/>
      <c r="C15" s="1"/>
      <c r="D15" s="1"/>
      <c r="E15" s="1"/>
      <c r="F15" s="2">
        <v>2</v>
      </c>
      <c r="G15" s="5">
        <f aca="true" t="shared" si="2" ref="G15:G29">IF(H15="","",$C$3)</f>
      </c>
      <c r="H15" s="5">
        <f>IF(ISNA(VLOOKUP($F15,'男子申込'!$C$13:$G$24,5,"false")),"",VLOOKUP(F15,'男子申込'!$C$13:$G$24,5,"false"))</f>
      </c>
      <c r="I15" s="52">
        <f>IF(ISNA(VLOOKUP($F15,'男子申込'!$C$13:$J$24,7,"false")),"",VLOOKUP(F15,'男子申込'!$C$13:$J$24,7,"false"))</f>
      </c>
      <c r="K15" s="1"/>
      <c r="L15" s="1"/>
      <c r="M15" s="1"/>
      <c r="N15" s="1"/>
      <c r="O15" s="2">
        <v>2</v>
      </c>
      <c r="P15" s="5">
        <f aca="true" t="shared" si="3" ref="P15:P29">IF(Q15="","",$C$3)</f>
      </c>
      <c r="Q15" s="5">
        <f>IF(ISNA(VLOOKUP($F15,'女子申込'!$C$13:$G$24,5,"false")),"",VLOOKUP(O15,'女子申込'!$C$13:$G$24,5,"false"))</f>
      </c>
      <c r="R15" s="52">
        <f>IF(ISNA(VLOOKUP($F15,'女子申込'!$C$13:$J$24,7,"false")),"",VLOOKUP(O15,'女子申込'!$C$13:$J$24,7,"false"))</f>
      </c>
    </row>
    <row r="16" spans="2:18" ht="13.5">
      <c r="B16" s="1"/>
      <c r="C16" s="13" t="s">
        <v>18</v>
      </c>
      <c r="D16" s="1"/>
      <c r="E16" s="1"/>
      <c r="F16" s="2">
        <v>3</v>
      </c>
      <c r="G16" s="5">
        <f t="shared" si="2"/>
      </c>
      <c r="H16" s="5">
        <f>IF(ISNA(VLOOKUP($F16,'男子申込'!$C$13:$G$24,5,"false")),"",VLOOKUP(F16,'男子申込'!$C$13:$G$24,5,"false"))</f>
      </c>
      <c r="I16" s="52">
        <f>IF(ISNA(VLOOKUP($F16,'男子申込'!$C$13:$J$24,7,"false")),"",VLOOKUP(F16,'男子申込'!$C$13:$J$24,7,"false"))</f>
      </c>
      <c r="K16" s="1"/>
      <c r="L16" s="13" t="s">
        <v>18</v>
      </c>
      <c r="M16" s="1"/>
      <c r="N16" s="1"/>
      <c r="O16" s="2">
        <v>3</v>
      </c>
      <c r="P16" s="5">
        <f t="shared" si="3"/>
      </c>
      <c r="Q16" s="5">
        <f>IF(ISNA(VLOOKUP($F16,'女子申込'!$C$13:$G$24,5,"false")),"",VLOOKUP(O16,'女子申込'!$C$13:$G$24,5,"false"))</f>
      </c>
      <c r="R16" s="52">
        <f>IF(ISNA(VLOOKUP($F16,'女子申込'!$C$13:$J$24,7,"false")),"",VLOOKUP(O16,'女子申込'!$C$13:$J$24,7,"false"))</f>
      </c>
    </row>
    <row r="17" spans="2:18" ht="13.5">
      <c r="B17" s="1"/>
      <c r="C17" s="1"/>
      <c r="D17" s="1"/>
      <c r="E17" s="1"/>
      <c r="F17" s="2">
        <v>4</v>
      </c>
      <c r="G17" s="5">
        <f t="shared" si="2"/>
      </c>
      <c r="H17" s="5">
        <f>IF(ISNA(VLOOKUP($F17,'男子申込'!$C$13:$G$24,5,"false")),"",VLOOKUP(F17,'男子申込'!$C$13:$G$24,5,"false"))</f>
      </c>
      <c r="I17" s="52">
        <f>IF(ISNA(VLOOKUP($F17,'男子申込'!$C$13:$J$24,7,"false")),"",VLOOKUP(F17,'男子申込'!$C$13:$J$24,7,"false"))</f>
      </c>
      <c r="K17" s="1"/>
      <c r="L17" s="1"/>
      <c r="M17" s="1"/>
      <c r="N17" s="1"/>
      <c r="O17" s="2">
        <v>4</v>
      </c>
      <c r="P17" s="5">
        <f t="shared" si="3"/>
      </c>
      <c r="Q17" s="5">
        <f>IF(ISNA(VLOOKUP($F17,'女子申込'!$C$13:$G$24,5,"false")),"",VLOOKUP(O17,'女子申込'!$C$13:$G$24,5,"false"))</f>
      </c>
      <c r="R17" s="52">
        <f>IF(ISNA(VLOOKUP($F17,'女子申込'!$C$13:$J$24,7,"false")),"",VLOOKUP(O17,'女子申込'!$C$13:$J$24,7,"false"))</f>
      </c>
    </row>
    <row r="18" spans="6:18" ht="13.5">
      <c r="F18" s="2">
        <v>5</v>
      </c>
      <c r="G18" s="5">
        <f t="shared" si="2"/>
      </c>
      <c r="H18" s="5">
        <f>IF(ISNA(VLOOKUP($F18,'男子申込'!$C$13:$G$24,5,"false")),"",VLOOKUP(F18,'男子申込'!$C$13:$G$24,5,"false"))</f>
      </c>
      <c r="I18" s="52">
        <f>IF(ISNA(VLOOKUP($F18,'男子申込'!$C$13:$J$24,7,"false")),"",VLOOKUP(F18,'男子申込'!$C$13:$J$24,7,"false"))</f>
      </c>
      <c r="O18" s="2">
        <v>5</v>
      </c>
      <c r="P18" s="5">
        <f t="shared" si="3"/>
      </c>
      <c r="Q18" s="5">
        <f>IF(ISNA(VLOOKUP($F18,'女子申込'!$C$13:$G$24,5,"false")),"",VLOOKUP(O18,'女子申込'!$C$13:$G$24,5,"false"))</f>
      </c>
      <c r="R18" s="52">
        <f>IF(ISNA(VLOOKUP($F18,'女子申込'!$C$13:$J$24,7,"false")),"",VLOOKUP(O18,'女子申込'!$C$13:$J$24,7,"false"))</f>
      </c>
    </row>
    <row r="19" spans="6:18" ht="13.5">
      <c r="F19" s="2">
        <v>6</v>
      </c>
      <c r="G19" s="5">
        <f t="shared" si="2"/>
      </c>
      <c r="H19" s="5">
        <f>IF(ISNA(VLOOKUP($F19,'男子申込'!$C$13:$G$24,5,"false")),"",VLOOKUP(F19,'男子申込'!$C$13:$G$24,5,"false"))</f>
      </c>
      <c r="I19" s="52">
        <f>IF(ISNA(VLOOKUP($F19,'男子申込'!$C$13:$J$24,7,"false")),"",VLOOKUP(F19,'男子申込'!$C$13:$J$24,7,"false"))</f>
      </c>
      <c r="O19" s="2">
        <v>6</v>
      </c>
      <c r="P19" s="5">
        <f t="shared" si="3"/>
      </c>
      <c r="Q19" s="5">
        <f>IF(ISNA(VLOOKUP($F19,'女子申込'!$C$13:$G$24,5,"false")),"",VLOOKUP(O19,'女子申込'!$C$13:$G$24,5,"false"))</f>
      </c>
      <c r="R19" s="52">
        <f>IF(ISNA(VLOOKUP($F19,'女子申込'!$C$13:$J$24,7,"false")),"",VLOOKUP(O19,'女子申込'!$C$13:$J$24,7,"false"))</f>
      </c>
    </row>
    <row r="20" spans="6:18" ht="13.5">
      <c r="F20" s="2">
        <v>7</v>
      </c>
      <c r="G20" s="5">
        <f t="shared" si="2"/>
      </c>
      <c r="H20" s="5">
        <f>IF(ISNA(VLOOKUP($F20,'男子申込'!$C$13:$G$24,5,"false")),"",VLOOKUP(F20,'男子申込'!$C$13:$G$24,5,"false"))</f>
      </c>
      <c r="I20" s="52">
        <f>IF(ISNA(VLOOKUP($F20,'男子申込'!$C$13:$J$24,7,"false")),"",VLOOKUP(F20,'男子申込'!$C$13:$J$24,7,"false"))</f>
      </c>
      <c r="O20" s="2">
        <v>7</v>
      </c>
      <c r="P20" s="5">
        <f t="shared" si="3"/>
      </c>
      <c r="Q20" s="5">
        <f>IF(ISNA(VLOOKUP($F20,'女子申込'!$C$13:$G$24,5,"false")),"",VLOOKUP(O20,'女子申込'!$C$13:$G$24,5,"false"))</f>
      </c>
      <c r="R20" s="52">
        <f>IF(ISNA(VLOOKUP($F20,'女子申込'!$C$13:$J$24,7,"false")),"",VLOOKUP(O20,'女子申込'!$C$13:$J$24,7,"false"))</f>
      </c>
    </row>
    <row r="21" spans="6:18" ht="14.25" thickBot="1">
      <c r="F21" s="10">
        <v>8</v>
      </c>
      <c r="G21" s="11">
        <f t="shared" si="2"/>
      </c>
      <c r="H21" s="11">
        <f>IF(ISNA(VLOOKUP($F21,'男子申込'!$C$13:$G$24,5,"false")),"",VLOOKUP(F21,'男子申込'!$C$13:$G$24,5,"false"))</f>
      </c>
      <c r="I21" s="53">
        <f>IF(ISNA(VLOOKUP($F21,'男子申込'!$C$13:$J$24,7,"false")),"",VLOOKUP(F21,'男子申込'!$C$13:$J$24,7,"false"))</f>
      </c>
      <c r="O21" s="10">
        <v>8</v>
      </c>
      <c r="P21" s="11">
        <f t="shared" si="3"/>
      </c>
      <c r="Q21" s="11">
        <f>IF(ISNA(VLOOKUP($F21,'女子申込'!$C$13:$G$24,5,"false")),"",VLOOKUP(O21,'女子申込'!$C$13:$G$24,5,"false"))</f>
      </c>
      <c r="R21" s="53">
        <f>IF(ISNA(VLOOKUP($F21,'女子申込'!$C$13:$J$24,7,"false")),"",VLOOKUP(O21,'女子申込'!$C$13:$J$24,7,"false"))</f>
      </c>
    </row>
    <row r="22" spans="6:18" ht="13.5">
      <c r="F22" s="2">
        <v>9</v>
      </c>
      <c r="G22" s="5">
        <f t="shared" si="2"/>
      </c>
      <c r="H22" s="5">
        <f>IF(ISNA(VLOOKUP($F22,'男子申込'!$C$13:$G$24,5,"false")),"",VLOOKUP(F22,'男子申込'!$C$13:$G$24,5,"false"))</f>
      </c>
      <c r="I22" s="52">
        <f>IF(ISNA(VLOOKUP($F22,'男子申込'!$C$13:$J$24,7,"false")),"",VLOOKUP(F22,'男子申込'!$C$13:$J$24,7,"false"))</f>
      </c>
      <c r="O22" s="2">
        <v>9</v>
      </c>
      <c r="P22" s="5">
        <f t="shared" si="3"/>
      </c>
      <c r="Q22" s="5">
        <f>IF(ISNA(VLOOKUP($F22,'女子申込'!$C$13:$G$24,5,"false")),"",VLOOKUP(O22,'女子申込'!$C$13:$G$24,5,"false"))</f>
      </c>
      <c r="R22" s="52">
        <f>IF(ISNA(VLOOKUP($F22,'女子申込'!$C$13:$J$24,7,"false")),"",VLOOKUP(O22,'女子申込'!$C$13:$J$24,7,"false"))</f>
      </c>
    </row>
    <row r="23" spans="6:18" ht="13.5">
      <c r="F23" s="2">
        <v>10</v>
      </c>
      <c r="G23" s="5">
        <f t="shared" si="2"/>
      </c>
      <c r="H23" s="5">
        <f>IF(ISNA(VLOOKUP($F23,'男子申込'!$C$13:$G$24,5,"false")),"",VLOOKUP(F23,'男子申込'!$C$13:$G$24,5,"false"))</f>
      </c>
      <c r="I23" s="52">
        <f>IF(ISNA(VLOOKUP($F23,'男子申込'!$C$13:$J$24,7,"false")),"",VLOOKUP(F23,'男子申込'!$C$13:$J$24,7,"false"))</f>
      </c>
      <c r="O23" s="2">
        <v>10</v>
      </c>
      <c r="P23" s="5">
        <f t="shared" si="3"/>
      </c>
      <c r="Q23" s="5">
        <f>IF(ISNA(VLOOKUP($F23,'女子申込'!$C$13:$G$24,5,"false")),"",VLOOKUP(O23,'女子申込'!$C$13:$G$24,5,"false"))</f>
      </c>
      <c r="R23" s="52">
        <f>IF(ISNA(VLOOKUP($F23,'女子申込'!$C$13:$J$24,7,"false")),"",VLOOKUP(O23,'女子申込'!$C$13:$J$24,7,"false"))</f>
      </c>
    </row>
    <row r="24" spans="6:18" ht="13.5">
      <c r="F24" s="2">
        <v>11</v>
      </c>
      <c r="G24" s="5">
        <f t="shared" si="2"/>
      </c>
      <c r="H24" s="5">
        <f>IF(ISNA(VLOOKUP($F24,'男子申込'!$C$13:$G$24,5,"false")),"",VLOOKUP(F24,'男子申込'!$C$13:$G$24,5,"false"))</f>
      </c>
      <c r="I24" s="52">
        <f>IF(ISNA(VLOOKUP($F24,'男子申込'!$C$13:$J$24,7,"false")),"",VLOOKUP(F24,'男子申込'!$C$13:$J$24,7,"false"))</f>
      </c>
      <c r="O24" s="2">
        <v>11</v>
      </c>
      <c r="P24" s="5">
        <f t="shared" si="3"/>
      </c>
      <c r="Q24" s="5">
        <f>IF(ISNA(VLOOKUP($F24,'女子申込'!$C$13:$G$24,5,"false")),"",VLOOKUP(O24,'女子申込'!$C$13:$G$24,5,"false"))</f>
      </c>
      <c r="R24" s="52">
        <f>IF(ISNA(VLOOKUP($F24,'女子申込'!$C$13:$J$24,7,"false")),"",VLOOKUP(O24,'女子申込'!$C$13:$J$24,7,"false"))</f>
      </c>
    </row>
    <row r="25" spans="6:18" ht="13.5">
      <c r="F25" s="2">
        <v>12</v>
      </c>
      <c r="G25" s="5">
        <f t="shared" si="2"/>
      </c>
      <c r="H25" s="5">
        <f>IF(ISNA(VLOOKUP($F25,'男子申込'!$C$13:$G$24,5,"false")),"",VLOOKUP(F25,'男子申込'!$C$13:$G$24,5,"false"))</f>
      </c>
      <c r="I25" s="52">
        <f>IF(ISNA(VLOOKUP($F25,'男子申込'!$C$13:$J$24,7,"false")),"",VLOOKUP(F25,'男子申込'!$C$13:$J$24,7,"false"))</f>
      </c>
      <c r="O25" s="2">
        <v>12</v>
      </c>
      <c r="P25" s="5">
        <f t="shared" si="3"/>
      </c>
      <c r="Q25" s="5">
        <f>IF(ISNA(VLOOKUP($F25,'女子申込'!$C$13:$G$24,5,"false")),"",VLOOKUP(O25,'女子申込'!$C$13:$G$24,5,"false"))</f>
      </c>
      <c r="R25" s="52">
        <f>IF(ISNA(VLOOKUP($F25,'女子申込'!$C$13:$J$24,7,"false")),"",VLOOKUP(O25,'女子申込'!$C$13:$J$24,7,"false"))</f>
      </c>
    </row>
    <row r="26" spans="6:18" ht="13.5">
      <c r="F26" s="2">
        <v>13</v>
      </c>
      <c r="G26" s="5">
        <f t="shared" si="2"/>
      </c>
      <c r="H26" s="5">
        <f>IF(ISNA(VLOOKUP($F26,'男子申込'!$C$13:$G$24,5,"false")),"",VLOOKUP(F26,'男子申込'!$C$13:$G$24,5,"false"))</f>
      </c>
      <c r="I26" s="52">
        <f>IF(ISNA(VLOOKUP($F26,'男子申込'!$C$13:$J$24,7,"false")),"",VLOOKUP(F26,'男子申込'!$C$13:$J$24,7,"false"))</f>
      </c>
      <c r="O26" s="2">
        <v>13</v>
      </c>
      <c r="P26" s="5">
        <f t="shared" si="3"/>
      </c>
      <c r="Q26" s="5">
        <f>IF(ISNA(VLOOKUP($F26,'女子申込'!$C$13:$G$24,5,"false")),"",VLOOKUP(O26,'女子申込'!$C$13:$G$24,5,"false"))</f>
      </c>
      <c r="R26" s="52">
        <f>IF(ISNA(VLOOKUP($F26,'女子申込'!$C$13:$J$24,7,"false")),"",VLOOKUP(O26,'女子申込'!$C$13:$J$24,7,"false"))</f>
      </c>
    </row>
    <row r="27" spans="6:18" ht="13.5">
      <c r="F27" s="2">
        <v>14</v>
      </c>
      <c r="G27" s="5">
        <f t="shared" si="2"/>
      </c>
      <c r="H27" s="5">
        <f>IF(ISNA(VLOOKUP($F27,'男子申込'!$C$13:$G$24,5,"false")),"",VLOOKUP(F27,'男子申込'!$C$13:$G$24,5,"false"))</f>
      </c>
      <c r="I27" s="52">
        <f>IF(ISNA(VLOOKUP($F27,'男子申込'!$C$13:$J$24,7,"false")),"",VLOOKUP(F27,'男子申込'!$C$13:$J$24,7,"false"))</f>
      </c>
      <c r="O27" s="2">
        <v>14</v>
      </c>
      <c r="P27" s="5">
        <f t="shared" si="3"/>
      </c>
      <c r="Q27" s="5">
        <f>IF(ISNA(VLOOKUP($F27,'女子申込'!$C$13:$G$24,5,"false")),"",VLOOKUP(O27,'女子申込'!$C$13:$G$24,5,"false"))</f>
      </c>
      <c r="R27" s="52">
        <f>IF(ISNA(VLOOKUP($F27,'女子申込'!$C$13:$J$24,7,"false")),"",VLOOKUP(O27,'女子申込'!$C$13:$J$24,7,"false"))</f>
      </c>
    </row>
    <row r="28" spans="6:18" ht="13.5">
      <c r="F28" s="2">
        <v>15</v>
      </c>
      <c r="G28" s="5">
        <f t="shared" si="2"/>
      </c>
      <c r="H28" s="5">
        <f>IF(ISNA(VLOOKUP($F28,'男子申込'!$C$13:$G$24,5,"false")),"",VLOOKUP(F28,'男子申込'!$C$13:$G$24,5,"false"))</f>
      </c>
      <c r="I28" s="52">
        <f>IF(ISNA(VLOOKUP($F28,'男子申込'!$C$13:$J$24,7,"false")),"",VLOOKUP(F28,'男子申込'!$C$13:$J$24,7,"false"))</f>
      </c>
      <c r="O28" s="2">
        <v>15</v>
      </c>
      <c r="P28" s="5">
        <f t="shared" si="3"/>
      </c>
      <c r="Q28" s="5">
        <f>IF(ISNA(VLOOKUP($F28,'女子申込'!$C$13:$G$24,5,"false")),"",VLOOKUP(O28,'女子申込'!$C$13:$G$24,5,"false"))</f>
      </c>
      <c r="R28" s="52">
        <f>IF(ISNA(VLOOKUP($F28,'女子申込'!$C$13:$J$24,7,"false")),"",VLOOKUP(O28,'女子申込'!$C$13:$J$24,7,"false"))</f>
      </c>
    </row>
    <row r="29" spans="6:18" ht="14.25" thickBot="1">
      <c r="F29" s="10">
        <v>16</v>
      </c>
      <c r="G29" s="11">
        <f t="shared" si="2"/>
      </c>
      <c r="H29" s="11">
        <f>IF(ISNA(VLOOKUP($F29,'男子申込'!$C$13:$G$24,5,"false")),"",VLOOKUP(F29,'男子申込'!$C$13:$G$24,5,"false"))</f>
      </c>
      <c r="I29" s="53">
        <f>IF(ISNA(VLOOKUP($F29,'男子申込'!$C$13:$J$24,7,"false")),"",VLOOKUP(F29,'男子申込'!$C$13:$J$24,7,"false"))</f>
      </c>
      <c r="O29" s="10">
        <v>16</v>
      </c>
      <c r="P29" s="11">
        <f t="shared" si="3"/>
      </c>
      <c r="Q29" s="11">
        <f>IF(ISNA(VLOOKUP($F29,'女子申込'!$C$13:$G$24,5,"false")),"",VLOOKUP(O29,'女子申込'!$C$13:$G$24,5,"false"))</f>
      </c>
      <c r="R29" s="53">
        <f>IF(ISNA(VLOOKUP($F29,'女子申込'!$C$13:$J$24,7,"false")),"",VLOOKUP(O29,'女子申込'!$C$13:$J$24,7,"false"))</f>
      </c>
    </row>
  </sheetData>
  <sheetProtection/>
  <mergeCells count="6">
    <mergeCell ref="O13:R13"/>
    <mergeCell ref="F13:I13"/>
    <mergeCell ref="F2:I2"/>
    <mergeCell ref="B2:D2"/>
    <mergeCell ref="K2:M2"/>
    <mergeCell ref="O2:R2"/>
  </mergeCells>
  <hyperlinks>
    <hyperlink ref="C16" location="Menu!A1" display="戻る"/>
    <hyperlink ref="L16" location="Menu!A1" display="戻る"/>
  </hyperlink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食品科学科</dc:creator>
  <cp:keywords/>
  <dc:description/>
  <cp:lastModifiedBy>Administrator</cp:lastModifiedBy>
  <cp:lastPrinted>2019-04-09T08:31:43Z</cp:lastPrinted>
  <dcterms:created xsi:type="dcterms:W3CDTF">2003-09-29T05:43:33Z</dcterms:created>
  <dcterms:modified xsi:type="dcterms:W3CDTF">2020-02-05T05:54:50Z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