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5" windowWidth="15480" windowHeight="11130" activeTab="0"/>
  </bookViews>
  <sheets>
    <sheet name="Menu" sheetId="1" r:id="rId1"/>
    <sheet name="男子申込" sheetId="2" r:id="rId2"/>
    <sheet name="男子データ" sheetId="3" r:id="rId3"/>
    <sheet name="女子申込" sheetId="4" r:id="rId4"/>
    <sheet name="女子データ" sheetId="5" r:id="rId5"/>
    <sheet name="処理用" sheetId="6" r:id="rId6"/>
    <sheet name="例" sheetId="7" r:id="rId7"/>
  </sheets>
  <externalReferences>
    <externalReference r:id="rId10"/>
  </externalReferences>
  <definedNames>
    <definedName name="_xlfn.IFERROR" hidden="1">#NAME?</definedName>
    <definedName name="_xlnm.Print_Area" localSheetId="0">'Menu'!$A$1:$D$38</definedName>
    <definedName name="_xlnm.Print_Area" localSheetId="4">'女子データ'!$A$1:$K$49</definedName>
    <definedName name="_xlnm.Print_Area" localSheetId="3">'女子申込'!$E$1:$N$36</definedName>
    <definedName name="_xlnm.Print_Area" localSheetId="2">'男子データ'!$A$1:$K$48</definedName>
    <definedName name="_xlnm.Print_Area" localSheetId="1">'男子申込'!$E$1:$O$36</definedName>
    <definedName name="_xlnm.Print_Area" localSheetId="6">'例'!$A$1:$AC$37</definedName>
  </definedNames>
  <calcPr fullCalcOnLoad="1"/>
</workbook>
</file>

<file path=xl/comments2.xml><?xml version="1.0" encoding="utf-8"?>
<comments xmlns="http://schemas.openxmlformats.org/spreadsheetml/2006/main">
  <authors>
    <author>食品科学科</author>
    <author>Hirakawa Koichi</author>
    <author>西谷　恵美</author>
  </authors>
  <commentList>
    <comment ref="K10" authorId="0">
      <text>
        <r>
          <rPr>
            <sz val="9"/>
            <rFont val="ＭＳ Ｐゴシック"/>
            <family val="3"/>
          </rPr>
          <t>団体戦出場者に
　　○　印をつける</t>
        </r>
      </text>
    </comment>
    <comment ref="L10" authorId="1">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1">
      <text>
        <r>
          <rPr>
            <b/>
            <sz val="9"/>
            <color indexed="10"/>
            <rFont val="ＭＳ Ｐゴシック"/>
            <family val="3"/>
          </rPr>
          <t>強い順に８人</t>
        </r>
        <r>
          <rPr>
            <sz val="9"/>
            <rFont val="ＭＳ Ｐゴシック"/>
            <family val="3"/>
          </rPr>
          <t xml:space="preserve">
１から順番に番号で数字を記入すること</t>
        </r>
      </text>
    </comment>
    <comment ref="E1" authorId="2">
      <text>
        <r>
          <rPr>
            <sz val="9"/>
            <rFont val="ＭＳ Ｐゴシック"/>
            <family val="3"/>
          </rPr>
          <t xml:space="preserve">申込を行う大会を選択して下さい。
</t>
        </r>
      </text>
    </comment>
  </commentList>
</comments>
</file>

<file path=xl/comments4.xml><?xml version="1.0" encoding="utf-8"?>
<comments xmlns="http://schemas.openxmlformats.org/spreadsheetml/2006/main">
  <authors>
    <author>西谷　恵美</author>
    <author>食品科学科</author>
    <author>Hirakawa Koichi</author>
  </authors>
  <commentList>
    <comment ref="E1" authorId="0">
      <text>
        <r>
          <rPr>
            <sz val="9"/>
            <rFont val="ＭＳ Ｐゴシック"/>
            <family val="3"/>
          </rPr>
          <t xml:space="preserve">申込を行う大会を選択して下さい。
</t>
        </r>
      </text>
    </comment>
    <comment ref="K10" authorId="1">
      <text>
        <r>
          <rPr>
            <sz val="9"/>
            <rFont val="ＭＳ Ｐゴシック"/>
            <family val="3"/>
          </rPr>
          <t>団体戦出場者に
　　○　印をつける</t>
        </r>
      </text>
    </comment>
    <comment ref="L10" authorId="2">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2">
      <text>
        <r>
          <rPr>
            <b/>
            <sz val="9"/>
            <color indexed="10"/>
            <rFont val="ＭＳ Ｐゴシック"/>
            <family val="3"/>
          </rPr>
          <t>強い順に８人</t>
        </r>
        <r>
          <rPr>
            <sz val="9"/>
            <rFont val="ＭＳ Ｐゴシック"/>
            <family val="3"/>
          </rPr>
          <t xml:space="preserve">
１から順番に番号で数字を記入すること</t>
        </r>
      </text>
    </comment>
  </commentList>
</comments>
</file>

<file path=xl/comments7.xml><?xml version="1.0" encoding="utf-8"?>
<comments xmlns="http://schemas.openxmlformats.org/spreadsheetml/2006/main">
  <authors>
    <author>西谷　恵美</author>
    <author>食品科学科</author>
    <author>Hirakawa Koichi</author>
  </authors>
  <commentList>
    <comment ref="E1" authorId="0">
      <text>
        <r>
          <rPr>
            <sz val="9"/>
            <rFont val="ＭＳ Ｐゴシック"/>
            <family val="3"/>
          </rPr>
          <t xml:space="preserve">申込を行う大会を選択して下さい。
</t>
        </r>
      </text>
    </comment>
    <comment ref="K10" authorId="1">
      <text>
        <r>
          <rPr>
            <sz val="9"/>
            <rFont val="ＭＳ Ｐゴシック"/>
            <family val="3"/>
          </rPr>
          <t>団体戦出場者に
　　○　印をつける</t>
        </r>
      </text>
    </comment>
    <comment ref="L10" authorId="2">
      <text>
        <r>
          <rPr>
            <b/>
            <sz val="9"/>
            <color indexed="10"/>
            <rFont val="ＭＳ Ｐゴシック"/>
            <family val="3"/>
          </rPr>
          <t>強い順に４組</t>
        </r>
        <r>
          <rPr>
            <sz val="9"/>
            <rFont val="ＭＳ Ｐゴシック"/>
            <family val="3"/>
          </rPr>
          <t xml:space="preserve">
ペアは同じ番号で数字を記入すること</t>
        </r>
      </text>
    </comment>
    <comment ref="M10" authorId="2">
      <text>
        <r>
          <rPr>
            <b/>
            <sz val="9"/>
            <color indexed="10"/>
            <rFont val="ＭＳ Ｐゴシック"/>
            <family val="3"/>
          </rPr>
          <t>強い順に８人</t>
        </r>
        <r>
          <rPr>
            <sz val="9"/>
            <rFont val="ＭＳ Ｐゴシック"/>
            <family val="3"/>
          </rPr>
          <t xml:space="preserve">
１から順番に番号で数字を記入すること</t>
        </r>
      </text>
    </comment>
  </commentList>
</comments>
</file>

<file path=xl/sharedStrings.xml><?xml version="1.0" encoding="utf-8"?>
<sst xmlns="http://schemas.openxmlformats.org/spreadsheetml/2006/main" count="298" uniqueCount="135">
  <si>
    <t>選手名</t>
  </si>
  <si>
    <t>学年</t>
  </si>
  <si>
    <t>備考</t>
  </si>
  <si>
    <t>学校名：</t>
  </si>
  <si>
    <t>所在地：</t>
  </si>
  <si>
    <t>　上記の者は本校の生徒で、標記大会に出場することを認め、参加申し込みをいたします。</t>
  </si>
  <si>
    <t>参加合計</t>
  </si>
  <si>
    <t>団体戦</t>
  </si>
  <si>
    <t>ダブルス</t>
  </si>
  <si>
    <t>個人戦</t>
  </si>
  <si>
    <t>監督名</t>
  </si>
  <si>
    <t>学校名</t>
  </si>
  <si>
    <t>男子</t>
  </si>
  <si>
    <t>参加</t>
  </si>
  <si>
    <t>不参加</t>
  </si>
  <si>
    <t>女子</t>
  </si>
  <si>
    <t>W確認</t>
  </si>
  <si>
    <t>戻る</t>
  </si>
  <si>
    <t>校長名</t>
  </si>
  <si>
    <t>住所</t>
  </si>
  <si>
    <t>郵便番号</t>
  </si>
  <si>
    <t>男子監督名</t>
  </si>
  <si>
    <t>女子監督名</t>
  </si>
  <si>
    <t>学校名略称</t>
  </si>
  <si>
    <t>※</t>
  </si>
  <si>
    <t>電　話：</t>
  </si>
  <si>
    <t>電話番号</t>
  </si>
  <si>
    <t>FAX</t>
  </si>
  <si>
    <t>学校番号</t>
  </si>
  <si>
    <t>監督</t>
  </si>
  <si>
    <t>引率責任者：</t>
  </si>
  <si>
    <t>　高体連個人情報に関する保護方針を承諾したうえで参加申し込みすることに同意します。</t>
  </si>
  <si>
    <t>引率責任者</t>
  </si>
  <si>
    <t>←監督は１名</t>
  </si>
  <si>
    <t>ふりがな</t>
  </si>
  <si>
    <t>ダブルス</t>
  </si>
  <si>
    <t>ＦＡＸ：</t>
  </si>
  <si>
    <t>no.</t>
  </si>
  <si>
    <t>県高校総体締切日</t>
  </si>
  <si>
    <t>一年生大会締切日</t>
  </si>
  <si>
    <t>県新人大会締切日</t>
  </si>
  <si>
    <t>（４組）</t>
  </si>
  <si>
    <t>団体</t>
  </si>
  <si>
    <t>ダブルス</t>
  </si>
  <si>
    <t>シングルス</t>
  </si>
  <si>
    <t>（８名）</t>
  </si>
  <si>
    <t>（制限なし）</t>
  </si>
  <si>
    <t>ＦＡＸ：</t>
  </si>
  <si>
    <t>←監督は１名です。</t>
  </si>
  <si>
    <t>監督の先生方へ</t>
  </si>
  <si>
    <t>　また、このファイルを、以下のメールアドレスに添付ファイルで送付してください。</t>
  </si>
  <si>
    <t>＝設定メニュー＝</t>
  </si>
  <si>
    <t>処理用!A1</t>
  </si>
  <si>
    <t>８　総体テニス競技参加申込書</t>
  </si>
  <si>
    <t>８　一年生テニス競技参加申込書</t>
  </si>
  <si>
    <t>８　新人テニス競技参加申込書</t>
  </si>
  <si>
    <t>（６名）</t>
  </si>
  <si>
    <t>（９名）</t>
  </si>
  <si>
    <t>選手名は強い順に記入してください。</t>
  </si>
  <si>
    <t>（ダブルスのペアは同番号を記入してください）</t>
  </si>
  <si>
    <t>令和　　年　　月　　　日</t>
  </si>
  <si>
    <t>各テニス部顧問の先生方へ</t>
  </si>
  <si>
    <r>
      <t>テニス競技のエントリーには２つの申込が必要になります。（高体連主催の大会）
１つはプリントアウトして職印をもらって郵送するもの（申込書１）と、もう１つは組み合わせ用のデータとして使用するこのExcelファイル（申込書２）です。
専門委員担当者宛に送付するもの（職印付き）とは別に、下記の様式にも必要事項を入力して、メールに添付の上、送信して頂きますようよろしくお願いします。
なお、ファイル名には学校名を入れてください。（例：宮崎農業新人大会申込）
この様式は、高体連主催の高校総体、１年生大会、新人大会の他、</t>
    </r>
    <r>
      <rPr>
        <sz val="10"/>
        <rFont val="ＭＳ Ｐ明朝"/>
        <family val="1"/>
      </rPr>
      <t>県ジュニア大会</t>
    </r>
    <r>
      <rPr>
        <sz val="10"/>
        <color indexed="8"/>
        <rFont val="ＭＳ Ｐ明朝"/>
        <family val="1"/>
      </rPr>
      <t>（８月）</t>
    </r>
    <r>
      <rPr>
        <sz val="10"/>
        <rFont val="ＭＳ Ｐ明朝"/>
        <family val="1"/>
      </rPr>
      <t>、県高校ダブルス選手権（３月）でも使用します</t>
    </r>
    <r>
      <rPr>
        <sz val="10"/>
        <color indexed="8"/>
        <rFont val="ＭＳ Ｐ明朝"/>
        <family val="1"/>
      </rPr>
      <t>。
※できましたら男女同じファイルで送付して頂きますようご協力をお願いします。</t>
    </r>
  </si>
  <si>
    <t>送信先メールアドレス</t>
  </si>
  <si>
    <t>mk-tennis@miyazaki-c.ed.jp</t>
  </si>
  <si>
    <t>男子</t>
  </si>
  <si>
    <t>学校名</t>
  </si>
  <si>
    <t>（１）団体戦</t>
  </si>
  <si>
    <t>※この欄は、団体戦が行われる大会のみ使用してください。</t>
  </si>
  <si>
    <r>
      <t>・</t>
    </r>
    <r>
      <rPr>
        <sz val="10"/>
        <rFont val="ＭＳ Ｐ明朝"/>
        <family val="1"/>
      </rPr>
      <t>高校総体については</t>
    </r>
    <r>
      <rPr>
        <b/>
        <sz val="10"/>
        <rFont val="ＭＳ Ｐ明朝"/>
        <family val="1"/>
      </rPr>
      <t>４～５名</t>
    </r>
    <r>
      <rPr>
        <sz val="10"/>
        <rFont val="ＭＳ Ｐ明朝"/>
        <family val="1"/>
      </rPr>
      <t>、１年生大会については</t>
    </r>
    <r>
      <rPr>
        <b/>
        <sz val="10"/>
        <rFont val="ＭＳ Ｐ明朝"/>
        <family val="1"/>
      </rPr>
      <t>２～６名、</t>
    </r>
    <r>
      <rPr>
        <sz val="10"/>
        <rFont val="ＭＳ Ｐ明朝"/>
        <family val="1"/>
      </rPr>
      <t>新人大会については</t>
    </r>
    <r>
      <rPr>
        <b/>
        <sz val="10"/>
        <rFont val="ＭＳ Ｐ明朝"/>
        <family val="1"/>
      </rPr>
      <t>７～９名</t>
    </r>
    <r>
      <rPr>
        <sz val="10"/>
        <rFont val="ＭＳ Ｐ明朝"/>
        <family val="1"/>
      </rPr>
      <t>です。</t>
    </r>
  </si>
  <si>
    <t>・団体メンバー記入については、氏名の後に学年(①、②、③)を付けて下さい。（１年生大会は不要）</t>
  </si>
  <si>
    <t>監督名</t>
  </si>
  <si>
    <t>No．１</t>
  </si>
  <si>
    <t>No．２</t>
  </si>
  <si>
    <t>No．３</t>
  </si>
  <si>
    <t>No．４</t>
  </si>
  <si>
    <t>No．５</t>
  </si>
  <si>
    <t>No．６</t>
  </si>
  <si>
    <t>No．７</t>
  </si>
  <si>
    <t>No．８</t>
  </si>
  <si>
    <t>No．９</t>
  </si>
  <si>
    <t>（２）個人戦</t>
  </si>
  <si>
    <r>
      <t>・</t>
    </r>
    <r>
      <rPr>
        <b/>
        <sz val="10"/>
        <color indexed="10"/>
        <rFont val="ＭＳ Ｐ明朝"/>
        <family val="1"/>
      </rPr>
      <t>高校総体、１年生大会</t>
    </r>
    <r>
      <rPr>
        <sz val="10"/>
        <color indexed="8"/>
        <rFont val="ＭＳ Ｐ明朝"/>
        <family val="1"/>
      </rPr>
      <t>については</t>
    </r>
    <r>
      <rPr>
        <b/>
        <sz val="10"/>
        <color indexed="10"/>
        <rFont val="ＭＳ Ｐ明朝"/>
        <family val="1"/>
      </rPr>
      <t>個人戦シングルスは８人、ダブルスは４組</t>
    </r>
    <r>
      <rPr>
        <sz val="10"/>
        <color indexed="8"/>
        <rFont val="ＭＳ Ｐ明朝"/>
        <family val="1"/>
      </rPr>
      <t>です。（付加枠のある学校は、それぞれ追加記入してください。）</t>
    </r>
  </si>
  <si>
    <r>
      <t>・</t>
    </r>
    <r>
      <rPr>
        <b/>
        <sz val="10"/>
        <color indexed="62"/>
        <rFont val="ＭＳ Ｐ明朝"/>
        <family val="1"/>
      </rPr>
      <t>新人大会</t>
    </r>
    <r>
      <rPr>
        <sz val="10"/>
        <color indexed="8"/>
        <rFont val="ＭＳ Ｐ明朝"/>
        <family val="1"/>
      </rPr>
      <t>については</t>
    </r>
    <r>
      <rPr>
        <b/>
        <sz val="10"/>
        <color indexed="62"/>
        <rFont val="ＭＳ Ｐ明朝"/>
        <family val="1"/>
      </rPr>
      <t>個人戦シングルスは６人、ダブルスは４組</t>
    </r>
    <r>
      <rPr>
        <sz val="10"/>
        <color indexed="8"/>
        <rFont val="ＭＳ Ｐ明朝"/>
        <family val="1"/>
      </rPr>
      <t>です。（付加枠のある学校は、それぞれ追加記入してください。）</t>
    </r>
  </si>
  <si>
    <r>
      <t>・</t>
    </r>
    <r>
      <rPr>
        <b/>
        <sz val="10"/>
        <color indexed="8"/>
        <rFont val="ＭＳ Ｐ明朝"/>
        <family val="1"/>
      </rPr>
      <t>県ジュニア</t>
    </r>
    <r>
      <rPr>
        <b/>
        <sz val="10"/>
        <rFont val="ＭＳ Ｐ明朝"/>
        <family val="1"/>
      </rPr>
      <t>（８月）、県高校ダブルス選手権（３月）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</si>
  <si>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r>
      <t>・</t>
    </r>
    <r>
      <rPr>
        <b/>
        <sz val="10"/>
        <color indexed="14"/>
        <rFont val="ＭＳ Ｐ明朝"/>
        <family val="1"/>
      </rPr>
      <t>シングルスの選手名についてはフルネーム</t>
    </r>
    <r>
      <rPr>
        <sz val="10"/>
        <color indexed="8"/>
        <rFont val="ＭＳ Ｐ明朝"/>
        <family val="1"/>
      </rPr>
      <t>、</t>
    </r>
    <r>
      <rPr>
        <b/>
        <sz val="10"/>
        <color indexed="17"/>
        <rFont val="ＭＳ Ｐ明朝"/>
        <family val="1"/>
      </rPr>
      <t>ダブルスについては姓のみ（同姓の場合は名前の一文字まで）</t>
    </r>
    <r>
      <rPr>
        <sz val="10"/>
        <color indexed="8"/>
        <rFont val="ＭＳ Ｐ明朝"/>
        <family val="1"/>
      </rPr>
      <t>でお願いします。</t>
    </r>
  </si>
  <si>
    <r>
      <t>・いずれも</t>
    </r>
    <r>
      <rPr>
        <b/>
        <sz val="10"/>
        <color indexed="10"/>
        <rFont val="ＭＳ Ｐ明朝"/>
        <family val="1"/>
      </rPr>
      <t>ランク順</t>
    </r>
    <r>
      <rPr>
        <b/>
        <sz val="10"/>
        <rFont val="ＭＳ Ｐ明朝"/>
        <family val="1"/>
      </rPr>
      <t>に</t>
    </r>
    <r>
      <rPr>
        <sz val="10"/>
        <color indexed="8"/>
        <rFont val="ＭＳ Ｐ明朝"/>
        <family val="1"/>
      </rPr>
      <t>記載してください。</t>
    </r>
  </si>
  <si>
    <t>①　シングルス</t>
  </si>
  <si>
    <t>②　ダブルス</t>
  </si>
  <si>
    <t>選手名</t>
  </si>
  <si>
    <t>（５名）</t>
  </si>
  <si>
    <r>
      <t>・</t>
    </r>
    <r>
      <rPr>
        <sz val="10"/>
        <rFont val="ＭＳ Ｐ明朝"/>
        <family val="1"/>
      </rPr>
      <t>高校総体については</t>
    </r>
    <r>
      <rPr>
        <b/>
        <sz val="10"/>
        <rFont val="ＭＳ Ｐ明朝"/>
        <family val="1"/>
      </rPr>
      <t>４～５名</t>
    </r>
    <r>
      <rPr>
        <sz val="10"/>
        <rFont val="ＭＳ Ｐ明朝"/>
        <family val="1"/>
      </rPr>
      <t>、１年生大会については</t>
    </r>
    <r>
      <rPr>
        <b/>
        <sz val="10"/>
        <rFont val="ＭＳ Ｐ明朝"/>
        <family val="1"/>
      </rPr>
      <t>２～６名、</t>
    </r>
    <r>
      <rPr>
        <sz val="10"/>
        <rFont val="ＭＳ Ｐ明朝"/>
        <family val="1"/>
      </rPr>
      <t>新人大会については</t>
    </r>
    <r>
      <rPr>
        <b/>
        <sz val="10"/>
        <rFont val="ＭＳ Ｐ明朝"/>
        <family val="1"/>
      </rPr>
      <t>４～９名</t>
    </r>
    <r>
      <rPr>
        <sz val="10"/>
        <rFont val="ＭＳ Ｐ明朝"/>
        <family val="1"/>
      </rPr>
      <t>です。</t>
    </r>
  </si>
  <si>
    <t>団体、ダブルス、シングルスは強い順に番号をつけてください。</t>
  </si>
  <si>
    <t>学年は③、②、①で記入してください。</t>
  </si>
  <si>
    <t>③</t>
  </si>
  <si>
    <t>②</t>
  </si>
  <si>
    <t>①</t>
  </si>
  <si>
    <t>　申込１をプリントアウトして、校印を押していただき</t>
  </si>
  <si>
    <t>各学校で保管しておいてください。</t>
  </si>
  <si>
    <t>　　　　　mk-tennis@miyazaki-c.ed.jp</t>
  </si>
  <si>
    <t>○○</t>
  </si>
  <si>
    <t>○○高等学校</t>
  </si>
  <si>
    <t>○○　○○</t>
  </si>
  <si>
    <t>〒○○○-○○○○</t>
  </si>
  <si>
    <t>都城</t>
  </si>
  <si>
    <t>三郎</t>
  </si>
  <si>
    <t>みやこのじょう　さぶろう</t>
  </si>
  <si>
    <t>③</t>
  </si>
  <si>
    <t>○</t>
  </si>
  <si>
    <t>延岡</t>
  </si>
  <si>
    <t>四郎</t>
  </si>
  <si>
    <t>のべおか　しろう</t>
  </si>
  <si>
    <t>日向</t>
  </si>
  <si>
    <t>五郎</t>
  </si>
  <si>
    <t>ひゅうが　ごろう</t>
  </si>
  <si>
    <t>②</t>
  </si>
  <si>
    <t>高鍋</t>
  </si>
  <si>
    <t>六郎</t>
  </si>
  <si>
    <t>たかなべ　ろくろう</t>
  </si>
  <si>
    <t>①</t>
  </si>
  <si>
    <t>小林</t>
  </si>
  <si>
    <t>七郎</t>
  </si>
  <si>
    <t>こばやし　しちろう</t>
  </si>
  <si>
    <t>5名</t>
  </si>
  <si>
    <t>宮崎県立ひむか工業高等学校</t>
  </si>
  <si>
    <t>学校番号：　100</t>
  </si>
  <si>
    <t>〒○○○-○○○○　</t>
  </si>
  <si>
    <t>(○○○○)-○○-○○○○</t>
  </si>
  <si>
    <t>宮崎　二郎</t>
  </si>
  <si>
    <t>校長　　宮崎　一郎　印</t>
  </si>
  <si>
    <t>まず、下記の欄に必要事項を入力してから、申込1のボタンを押してください。
なお、入力する用紙はこのシートと申込1のみ入力して送信してください。(申込２は自動で入力されます。)</t>
  </si>
  <si>
    <t>８　総体テニス競技参加申込書</t>
  </si>
  <si>
    <t>令和５年４月２８日（金）</t>
  </si>
  <si>
    <t>令和５年７月１３日（木）</t>
  </si>
  <si>
    <t>令和５年９月２０日（水）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</si>
</sst>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 numFmtId="177" formatCode="#\ &quot;名&quot;"/>
    <numFmt numFmtId="178" formatCode="\(#\)"/>
  </numFmts>
  <fonts count="73">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u val="single"/>
      <sz val="11"/>
      <color indexed="9"/>
      <name val="ＭＳ Ｐゴシック"/>
      <family val="3"/>
    </font>
    <font>
      <sz val="16"/>
      <name val="ＭＳ 明朝"/>
      <family val="1"/>
    </font>
    <font>
      <sz val="11"/>
      <name val="ＭＳ 明朝"/>
      <family val="1"/>
    </font>
    <font>
      <b/>
      <sz val="9"/>
      <color indexed="10"/>
      <name val="ＭＳ Ｐゴシック"/>
      <family val="3"/>
    </font>
    <font>
      <sz val="10"/>
      <name val="ＭＳ 明朝"/>
      <family val="1"/>
    </font>
    <font>
      <sz val="12"/>
      <name val="ＭＳ 明朝"/>
      <family val="1"/>
    </font>
    <font>
      <b/>
      <sz val="22"/>
      <name val="ＭＳ 明朝"/>
      <family val="1"/>
    </font>
    <font>
      <b/>
      <sz val="11"/>
      <name val="ＭＳ 明朝"/>
      <family val="1"/>
    </font>
    <font>
      <sz val="8"/>
      <name val="ＭＳ 明朝"/>
      <family val="1"/>
    </font>
    <font>
      <sz val="6"/>
      <name val="ＭＳ 明朝"/>
      <family val="1"/>
    </font>
    <font>
      <sz val="18"/>
      <name val="ＭＳ Ｐゴシック"/>
      <family val="3"/>
    </font>
    <font>
      <u val="single"/>
      <sz val="11"/>
      <name val="ＭＳ 明朝"/>
      <family val="1"/>
    </font>
    <font>
      <sz val="11"/>
      <color indexed="10"/>
      <name val="ＭＳ 明朝"/>
      <family val="1"/>
    </font>
    <font>
      <sz val="10"/>
      <name val="ＭＳ Ｐ明朝"/>
      <family val="1"/>
    </font>
    <font>
      <sz val="10"/>
      <color indexed="8"/>
      <name val="ＭＳ Ｐ明朝"/>
      <family val="1"/>
    </font>
    <font>
      <u val="single"/>
      <sz val="14"/>
      <color indexed="12"/>
      <name val="ＭＳ Ｐゴシック"/>
      <family val="3"/>
    </font>
    <font>
      <b/>
      <sz val="10"/>
      <name val="ＭＳ Ｐ明朝"/>
      <family val="1"/>
    </font>
    <font>
      <b/>
      <sz val="10"/>
      <color indexed="10"/>
      <name val="ＭＳ Ｐ明朝"/>
      <family val="1"/>
    </font>
    <font>
      <b/>
      <sz val="10"/>
      <color indexed="62"/>
      <name val="ＭＳ Ｐ明朝"/>
      <family val="1"/>
    </font>
    <font>
      <b/>
      <sz val="10"/>
      <color indexed="8"/>
      <name val="ＭＳ Ｐ明朝"/>
      <family val="1"/>
    </font>
    <font>
      <b/>
      <sz val="10"/>
      <color indexed="14"/>
      <name val="ＭＳ Ｐ明朝"/>
      <family val="1"/>
    </font>
    <font>
      <b/>
      <sz val="10"/>
      <color indexed="1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Ｐ明朝"/>
      <family val="1"/>
    </font>
    <font>
      <b/>
      <sz val="12"/>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medium"/>
      <top style="double"/>
      <bottom style="double"/>
      <diagonal style="thin"/>
    </border>
    <border>
      <left style="medium"/>
      <right style="thin"/>
      <top style="medium"/>
      <bottom style="thin"/>
    </border>
    <border>
      <left style="thin"/>
      <right style="thin"/>
      <top style="medium"/>
      <bottom>
        <color indexed="63"/>
      </bottom>
    </border>
    <border>
      <left style="thin"/>
      <right style="thin"/>
      <top>
        <color indexed="63"/>
      </top>
      <bottom style="double"/>
    </border>
    <border>
      <left style="medium"/>
      <right style="thin"/>
      <top>
        <color indexed="63"/>
      </top>
      <bottom style="mediu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style="medium"/>
      <top style="thin"/>
      <bottom style="mediu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pplyNumberFormat="0" applyFill="0" applyBorder="0" applyAlignment="0" applyProtection="0"/>
    <xf numFmtId="0" fontId="65" fillId="32" borderId="0" applyNumberFormat="0" applyBorder="0" applyAlignment="0" applyProtection="0"/>
  </cellStyleXfs>
  <cellXfs count="179">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7" xfId="0" applyBorder="1" applyAlignment="1" applyProtection="1">
      <alignment vertical="center"/>
      <protection hidden="1"/>
    </xf>
    <xf numFmtId="0" fontId="0" fillId="0" borderId="18"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3" fillId="0" borderId="0" xfId="43" applyAlignment="1" applyProtection="1">
      <alignment vertical="center"/>
      <protection hidden="1"/>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hidden="1"/>
    </xf>
    <xf numFmtId="0" fontId="0" fillId="0" borderId="0"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21"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6" fillId="0" borderId="0" xfId="0" applyFont="1" applyAlignment="1">
      <alignment horizontal="center" vertical="center"/>
    </xf>
    <xf numFmtId="0" fontId="1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9" fillId="0" borderId="23" xfId="0" applyFont="1" applyBorder="1" applyAlignment="1">
      <alignment horizontal="center" vertical="center" textRotation="255"/>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xf>
    <xf numFmtId="0" fontId="12"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right" vertical="center"/>
    </xf>
    <xf numFmtId="0" fontId="9" fillId="0" borderId="0" xfId="0" applyFont="1" applyAlignment="1" applyProtection="1">
      <alignment horizontal="left" vertical="center"/>
      <protection locked="0"/>
    </xf>
    <xf numFmtId="0" fontId="9" fillId="0" borderId="27" xfId="0" applyFont="1" applyBorder="1" applyAlignment="1">
      <alignment horizontal="distributed" vertical="distributed"/>
    </xf>
    <xf numFmtId="0" fontId="9" fillId="0" borderId="10" xfId="0" applyFont="1" applyBorder="1" applyAlignment="1">
      <alignment horizontal="distributed" vertical="distributed"/>
    </xf>
    <xf numFmtId="0" fontId="9" fillId="0" borderId="18" xfId="0" applyFont="1" applyBorder="1" applyAlignment="1">
      <alignment horizontal="distributed" vertical="center"/>
    </xf>
    <xf numFmtId="0" fontId="13" fillId="0" borderId="28" xfId="0" applyFont="1" applyBorder="1" applyAlignment="1">
      <alignment horizontal="center" vertical="center" wrapText="1"/>
    </xf>
    <xf numFmtId="0" fontId="5" fillId="0" borderId="0" xfId="43" applyFont="1" applyAlignment="1" applyProtection="1">
      <alignment vertical="center"/>
      <protection/>
    </xf>
    <xf numFmtId="0" fontId="0" fillId="0" borderId="13" xfId="0" applyBorder="1" applyAlignment="1" applyProtection="1">
      <alignment vertical="center"/>
      <protection locked="0"/>
    </xf>
    <xf numFmtId="58" fontId="0" fillId="0" borderId="13" xfId="0" applyNumberFormat="1" applyBorder="1" applyAlignment="1" applyProtection="1">
      <alignment vertical="center"/>
      <protection locked="0"/>
    </xf>
    <xf numFmtId="178" fontId="0" fillId="0" borderId="14" xfId="0" applyNumberFormat="1" applyBorder="1" applyAlignment="1" applyProtection="1">
      <alignment horizontal="center" vertical="center"/>
      <protection hidden="1"/>
    </xf>
    <xf numFmtId="178" fontId="0" fillId="0" borderId="20" xfId="0" applyNumberFormat="1" applyBorder="1" applyAlignment="1" applyProtection="1">
      <alignment horizontal="center" vertical="center"/>
      <protection hidden="1"/>
    </xf>
    <xf numFmtId="0" fontId="14" fillId="0" borderId="29" xfId="0" applyFont="1" applyBorder="1" applyAlignment="1">
      <alignment horizontal="center" vertical="center" wrapText="1"/>
    </xf>
    <xf numFmtId="0" fontId="0" fillId="0" borderId="0" xfId="0" applyAlignment="1">
      <alignment horizontal="distributed" vertical="center"/>
    </xf>
    <xf numFmtId="0" fontId="0" fillId="33" borderId="13" xfId="0" applyFill="1" applyBorder="1" applyAlignment="1">
      <alignment horizontal="distributed" vertical="center"/>
    </xf>
    <xf numFmtId="0" fontId="0" fillId="34" borderId="13" xfId="0" applyFill="1" applyBorder="1" applyAlignment="1">
      <alignment horizontal="distributed" vertical="center" indent="1"/>
    </xf>
    <xf numFmtId="0" fontId="0" fillId="0" borderId="0" xfId="0" applyAlignment="1">
      <alignment horizontal="distributed" vertical="center" indent="1"/>
    </xf>
    <xf numFmtId="0" fontId="9" fillId="0" borderId="30"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58" fontId="17" fillId="0" borderId="0" xfId="0" applyNumberFormat="1" applyFont="1" applyAlignment="1">
      <alignment horizontal="left" vertical="center"/>
    </xf>
    <xf numFmtId="0" fontId="17"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9" fillId="0" borderId="18" xfId="0" applyFont="1" applyBorder="1" applyAlignment="1">
      <alignment horizontal="center" vertical="center"/>
    </xf>
    <xf numFmtId="0" fontId="66" fillId="0" borderId="0" xfId="0" applyFont="1" applyAlignment="1">
      <alignment/>
    </xf>
    <xf numFmtId="0" fontId="67" fillId="0" borderId="0" xfId="0" applyFont="1" applyAlignment="1">
      <alignment/>
    </xf>
    <xf numFmtId="0" fontId="18" fillId="0" borderId="0" xfId="0" applyFont="1" applyAlignment="1">
      <alignment/>
    </xf>
    <xf numFmtId="0" fontId="68" fillId="0" borderId="0" xfId="0" applyFont="1" applyAlignment="1">
      <alignment/>
    </xf>
    <xf numFmtId="0" fontId="20" fillId="0" borderId="0" xfId="43" applyNumberFormat="1" applyFont="1" applyFill="1" applyBorder="1" applyAlignment="1" applyProtection="1">
      <alignment/>
      <protection/>
    </xf>
    <xf numFmtId="0" fontId="69" fillId="0" borderId="0" xfId="43" applyNumberFormat="1" applyFont="1" applyFill="1" applyBorder="1" applyAlignment="1" applyProtection="1">
      <alignment/>
      <protection/>
    </xf>
    <xf numFmtId="0" fontId="70" fillId="0" borderId="0" xfId="43" applyNumberFormat="1" applyFont="1" applyFill="1" applyBorder="1" applyAlignment="1" applyProtection="1">
      <alignment/>
      <protection/>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7" fillId="0" borderId="0" xfId="0" applyFont="1" applyFill="1" applyBorder="1" applyAlignment="1">
      <alignment horizontal="left" vertical="center"/>
    </xf>
    <xf numFmtId="0" fontId="66" fillId="0" borderId="0" xfId="0" applyFont="1" applyAlignment="1">
      <alignment vertical="center"/>
    </xf>
    <xf numFmtId="0" fontId="66"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67" fillId="0" borderId="0" xfId="0" applyFont="1" applyBorder="1" applyAlignment="1">
      <alignment horizontal="center" vertical="center"/>
    </xf>
    <xf numFmtId="0" fontId="66" fillId="0" borderId="31" xfId="0" applyFont="1" applyBorder="1" applyAlignment="1">
      <alignment horizontal="center" vertical="center"/>
    </xf>
    <xf numFmtId="0" fontId="66" fillId="35" borderId="32" xfId="0" applyFont="1" applyFill="1" applyBorder="1" applyAlignment="1">
      <alignment horizontal="center" vertical="center"/>
    </xf>
    <xf numFmtId="0" fontId="66" fillId="35" borderId="33" xfId="0" applyFont="1" applyFill="1" applyBorder="1" applyAlignment="1">
      <alignment horizontal="center" vertical="center"/>
    </xf>
    <xf numFmtId="0" fontId="66" fillId="35" borderId="13" xfId="0" applyFont="1" applyFill="1" applyBorder="1" applyAlignment="1">
      <alignment horizontal="center" vertical="center"/>
    </xf>
    <xf numFmtId="0" fontId="66" fillId="0" borderId="13" xfId="0" applyFont="1" applyBorder="1" applyAlignment="1">
      <alignment horizontal="center" vertical="center"/>
    </xf>
    <xf numFmtId="0" fontId="67" fillId="0" borderId="0" xfId="0" applyFont="1" applyAlignment="1">
      <alignment horizontal="left" vertical="center"/>
    </xf>
    <xf numFmtId="0" fontId="71" fillId="0" borderId="0" xfId="0" applyFont="1" applyAlignment="1">
      <alignment/>
    </xf>
    <xf numFmtId="0" fontId="66" fillId="35" borderId="34" xfId="0" applyFont="1" applyFill="1" applyBorder="1" applyAlignment="1">
      <alignment horizontal="center" vertical="center"/>
    </xf>
    <xf numFmtId="0" fontId="66" fillId="0" borderId="35" xfId="0" applyFont="1" applyBorder="1" applyAlignment="1">
      <alignment horizontal="center" vertical="center"/>
    </xf>
    <xf numFmtId="0" fontId="66" fillId="0" borderId="34" xfId="0" applyFont="1" applyBorder="1" applyAlignment="1">
      <alignment horizontal="center" vertical="center"/>
    </xf>
    <xf numFmtId="0" fontId="66" fillId="0" borderId="0" xfId="0" applyFont="1" applyBorder="1" applyAlignment="1">
      <alignment vertical="center"/>
    </xf>
    <xf numFmtId="0" fontId="66" fillId="0" borderId="0" xfId="0" applyFont="1" applyBorder="1" applyAlignment="1">
      <alignment/>
    </xf>
    <xf numFmtId="0" fontId="66" fillId="0" borderId="35" xfId="0" applyFont="1" applyBorder="1" applyAlignment="1">
      <alignment horizontal="center" vertical="center"/>
    </xf>
    <xf numFmtId="0" fontId="6" fillId="36" borderId="0" xfId="0" applyFont="1" applyFill="1" applyAlignment="1" applyProtection="1">
      <alignment vertical="center"/>
      <protection locked="0"/>
    </xf>
    <xf numFmtId="0" fontId="6" fillId="36" borderId="0" xfId="0" applyFont="1" applyFill="1" applyAlignment="1" applyProtection="1">
      <alignment horizontal="center" vertical="center"/>
      <protection locked="0"/>
    </xf>
    <xf numFmtId="0" fontId="9" fillId="28" borderId="36" xfId="0" applyFont="1" applyFill="1" applyBorder="1" applyAlignment="1">
      <alignment horizontal="center" vertical="center"/>
    </xf>
    <xf numFmtId="0" fontId="7" fillId="28" borderId="13" xfId="0" applyFont="1" applyFill="1" applyBorder="1" applyAlignment="1" applyProtection="1">
      <alignment horizontal="center" vertical="center" shrinkToFit="1"/>
      <protection locked="0"/>
    </xf>
    <xf numFmtId="0" fontId="13" fillId="28" borderId="13" xfId="0" applyFont="1" applyFill="1" applyBorder="1" applyAlignment="1" applyProtection="1">
      <alignment horizontal="left" vertical="center" shrinkToFit="1"/>
      <protection locked="0"/>
    </xf>
    <xf numFmtId="0" fontId="10" fillId="28" borderId="16" xfId="0" applyFont="1" applyFill="1" applyBorder="1" applyAlignment="1" applyProtection="1">
      <alignment horizontal="center" vertical="center"/>
      <protection locked="0"/>
    </xf>
    <xf numFmtId="0" fontId="10" fillId="28" borderId="17" xfId="0" applyFont="1" applyFill="1" applyBorder="1" applyAlignment="1" applyProtection="1">
      <alignment horizontal="center" vertical="center"/>
      <protection locked="0"/>
    </xf>
    <xf numFmtId="0" fontId="9" fillId="28" borderId="37" xfId="0" applyFont="1" applyFill="1" applyBorder="1" applyAlignment="1">
      <alignment horizontal="center" vertical="center"/>
    </xf>
    <xf numFmtId="0" fontId="10" fillId="28" borderId="13"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7" fillId="28" borderId="13" xfId="0" applyFont="1" applyFill="1" applyBorder="1" applyAlignment="1" applyProtection="1">
      <alignment horizontal="left" vertical="center"/>
      <protection locked="0"/>
    </xf>
    <xf numFmtId="0" fontId="9" fillId="28" borderId="38" xfId="0" applyFont="1" applyFill="1" applyBorder="1" applyAlignment="1">
      <alignment horizontal="center" vertical="center"/>
    </xf>
    <xf numFmtId="0" fontId="7" fillId="28" borderId="19" xfId="0" applyFont="1" applyFill="1" applyBorder="1" applyAlignment="1" applyProtection="1">
      <alignment horizontal="center" vertical="center" shrinkToFit="1"/>
      <protection locked="0"/>
    </xf>
    <xf numFmtId="0" fontId="13" fillId="28" borderId="19" xfId="0" applyFont="1" applyFill="1" applyBorder="1" applyAlignment="1" applyProtection="1">
      <alignment horizontal="left" vertical="center" shrinkToFit="1"/>
      <protection locked="0"/>
    </xf>
    <xf numFmtId="0" fontId="10" fillId="28" borderId="19" xfId="0" applyFont="1" applyFill="1" applyBorder="1" applyAlignment="1" applyProtection="1">
      <alignment horizontal="center" vertical="center"/>
      <protection locked="0"/>
    </xf>
    <xf numFmtId="0" fontId="10" fillId="28" borderId="20" xfId="0" applyFont="1" applyFill="1" applyBorder="1" applyAlignment="1" applyProtection="1">
      <alignment horizontal="center" vertical="center"/>
      <protection locked="0"/>
    </xf>
    <xf numFmtId="0" fontId="0" fillId="28" borderId="13" xfId="0" applyFill="1" applyBorder="1" applyAlignment="1" applyProtection="1">
      <alignment horizontal="center" vertical="center"/>
      <protection locked="0"/>
    </xf>
    <xf numFmtId="0" fontId="0" fillId="28" borderId="13" xfId="0" applyFill="1" applyBorder="1" applyAlignment="1" applyProtection="1">
      <alignment vertical="center"/>
      <protection locked="0"/>
    </xf>
    <xf numFmtId="0" fontId="0" fillId="28" borderId="13" xfId="0" applyFill="1" applyBorder="1" applyAlignment="1" applyProtection="1">
      <alignment vertical="center"/>
      <protection locked="0"/>
    </xf>
    <xf numFmtId="0" fontId="3" fillId="0" borderId="0" xfId="43" applyNumberFormat="1" applyFill="1" applyBorder="1" applyAlignment="1" applyProtection="1">
      <alignment/>
      <protection/>
    </xf>
    <xf numFmtId="0" fontId="9" fillId="28" borderId="36" xfId="0" applyFont="1" applyFill="1" applyBorder="1" applyAlignment="1">
      <alignment horizontal="center" vertical="center" shrinkToFit="1"/>
    </xf>
    <xf numFmtId="0" fontId="10" fillId="28" borderId="16" xfId="0" applyFont="1" applyFill="1" applyBorder="1" applyAlignment="1" applyProtection="1">
      <alignment horizontal="center" vertical="center" shrinkToFit="1"/>
      <protection locked="0"/>
    </xf>
    <xf numFmtId="0" fontId="10" fillId="28" borderId="17" xfId="0" applyFont="1" applyFill="1" applyBorder="1" applyAlignment="1" applyProtection="1">
      <alignment horizontal="center" vertical="center" shrinkToFit="1"/>
      <protection locked="0"/>
    </xf>
    <xf numFmtId="0" fontId="9" fillId="28" borderId="37" xfId="0" applyFont="1" applyFill="1" applyBorder="1" applyAlignment="1">
      <alignment horizontal="center" vertical="center" shrinkToFit="1"/>
    </xf>
    <xf numFmtId="0" fontId="10" fillId="28" borderId="13" xfId="0" applyFont="1" applyFill="1" applyBorder="1" applyAlignment="1" applyProtection="1">
      <alignment horizontal="center" vertical="center" shrinkToFit="1"/>
      <protection locked="0"/>
    </xf>
    <xf numFmtId="0" fontId="10" fillId="28" borderId="14" xfId="0" applyFont="1" applyFill="1" applyBorder="1" applyAlignment="1" applyProtection="1">
      <alignment horizontal="center" vertical="center" shrinkToFit="1"/>
      <protection locked="0"/>
    </xf>
    <xf numFmtId="0" fontId="7" fillId="28" borderId="13" xfId="0" applyFont="1" applyFill="1" applyBorder="1" applyAlignment="1" applyProtection="1">
      <alignment horizontal="left" vertical="center" shrinkToFit="1"/>
      <protection locked="0"/>
    </xf>
    <xf numFmtId="0" fontId="9" fillId="28" borderId="38" xfId="0" applyFont="1" applyFill="1" applyBorder="1" applyAlignment="1">
      <alignment horizontal="center" vertical="center" shrinkToFit="1"/>
    </xf>
    <xf numFmtId="0" fontId="10" fillId="28" borderId="19" xfId="0" applyFont="1" applyFill="1" applyBorder="1" applyAlignment="1" applyProtection="1">
      <alignment horizontal="center" vertical="center" shrinkToFit="1"/>
      <protection locked="0"/>
    </xf>
    <xf numFmtId="0" fontId="10" fillId="28" borderId="20" xfId="0" applyFont="1" applyFill="1" applyBorder="1" applyAlignment="1" applyProtection="1">
      <alignment horizontal="center" vertical="center" shrinkToFit="1"/>
      <protection locked="0"/>
    </xf>
    <xf numFmtId="0" fontId="0" fillId="28" borderId="11" xfId="0" applyFill="1" applyBorder="1" applyAlignment="1" applyProtection="1">
      <alignment horizontal="left" vertical="center"/>
      <protection locked="0"/>
    </xf>
    <xf numFmtId="0" fontId="0" fillId="28" borderId="37" xfId="0" applyFill="1" applyBorder="1" applyAlignment="1" applyProtection="1">
      <alignment horizontal="left" vertical="center"/>
      <protection locked="0"/>
    </xf>
    <xf numFmtId="0" fontId="15" fillId="0" borderId="0" xfId="0" applyFont="1" applyAlignment="1" quotePrefix="1">
      <alignment horizontal="center" vertical="center"/>
    </xf>
    <xf numFmtId="0" fontId="1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177" fontId="9" fillId="28" borderId="42" xfId="0" applyNumberFormat="1" applyFont="1" applyFill="1" applyBorder="1" applyAlignment="1" applyProtection="1">
      <alignment horizontal="center" vertical="center"/>
      <protection hidden="1"/>
    </xf>
    <xf numFmtId="177" fontId="9" fillId="28" borderId="43"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6" fillId="28" borderId="0" xfId="0" applyFont="1" applyFill="1" applyAlignment="1" applyProtection="1">
      <alignment horizontal="center" vertical="center"/>
      <protection locked="0"/>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6" fillId="0" borderId="0" xfId="0" applyFont="1" applyAlignment="1">
      <alignment horizontal="center" vertical="center"/>
    </xf>
    <xf numFmtId="0" fontId="9" fillId="0" borderId="54" xfId="0" applyFont="1" applyBorder="1" applyAlignment="1" applyProtection="1">
      <alignment horizontal="left" vertical="center"/>
      <protection locked="0"/>
    </xf>
    <xf numFmtId="0" fontId="9" fillId="0" borderId="5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12" xfId="0" applyFont="1" applyBorder="1" applyAlignment="1">
      <alignment horizontal="left" vertical="center"/>
    </xf>
    <xf numFmtId="58" fontId="9" fillId="28" borderId="0" xfId="0" applyNumberFormat="1" applyFont="1" applyFill="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66" fillId="0" borderId="0" xfId="0" applyFont="1" applyAlignment="1">
      <alignment horizontal="left" vertical="center" wrapText="1"/>
    </xf>
    <xf numFmtId="0" fontId="66" fillId="0" borderId="56" xfId="0" applyFont="1" applyBorder="1" applyAlignment="1">
      <alignment horizontal="center" vertical="center"/>
    </xf>
    <xf numFmtId="0" fontId="66" fillId="0" borderId="57"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35"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0" fillId="37" borderId="27" xfId="0" applyFill="1" applyBorder="1" applyAlignment="1" applyProtection="1">
      <alignment horizontal="center" vertical="center"/>
      <protection hidden="1"/>
    </xf>
    <xf numFmtId="0" fontId="0" fillId="37" borderId="61" xfId="0" applyFill="1"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34" borderId="27" xfId="0" applyFill="1" applyBorder="1" applyAlignment="1" applyProtection="1">
      <alignment horizontal="center" vertical="center"/>
      <protection hidden="1"/>
    </xf>
    <xf numFmtId="0" fontId="0" fillId="34" borderId="61"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8" borderId="27" xfId="0" applyFill="1" applyBorder="1" applyAlignment="1" applyProtection="1">
      <alignment horizontal="center" vertical="center"/>
      <protection hidden="1"/>
    </xf>
    <xf numFmtId="0" fontId="0" fillId="38" borderId="61" xfId="0" applyFill="1" applyBorder="1" applyAlignment="1" applyProtection="1">
      <alignment horizontal="center" vertical="center"/>
      <protection hidden="1"/>
    </xf>
    <xf numFmtId="0" fontId="0" fillId="38" borderId="22" xfId="0" applyFill="1" applyBorder="1" applyAlignment="1" applyProtection="1">
      <alignment horizontal="center" vertical="center"/>
      <protection hidden="1"/>
    </xf>
    <xf numFmtId="0" fontId="0" fillId="39" borderId="62" xfId="0" applyFill="1" applyBorder="1" applyAlignment="1" applyProtection="1">
      <alignment horizontal="center" vertical="center"/>
      <protection hidden="1"/>
    </xf>
    <xf numFmtId="0" fontId="0" fillId="39" borderId="63" xfId="0" applyFill="1" applyBorder="1" applyAlignment="1" applyProtection="1">
      <alignment horizontal="center" vertical="center"/>
      <protection hidden="1"/>
    </xf>
    <xf numFmtId="0" fontId="0" fillId="39" borderId="64" xfId="0" applyFill="1" applyBorder="1" applyAlignment="1" applyProtection="1">
      <alignment horizontal="center" vertical="center"/>
      <protection hidden="1"/>
    </xf>
    <xf numFmtId="0" fontId="0" fillId="40" borderId="62" xfId="0" applyFill="1" applyBorder="1" applyAlignment="1" applyProtection="1">
      <alignment horizontal="center" vertical="center"/>
      <protection hidden="1"/>
    </xf>
    <xf numFmtId="0" fontId="0" fillId="40" borderId="63" xfId="0" applyFill="1" applyBorder="1" applyAlignment="1" applyProtection="1">
      <alignment horizontal="center" vertical="center"/>
      <protection hidden="1"/>
    </xf>
    <xf numFmtId="0" fontId="0" fillId="40" borderId="64" xfId="0"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0363;!A1"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0363;!A1" /></Relationships>
</file>

<file path=xl/drawings/_rels/drawing3.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4.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12487;&#12540;&#12479;!A1" /><Relationship Id="rId3" Type="http://schemas.openxmlformats.org/officeDocument/2006/relationships/hyperlink" Target="#&#30007;&#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5.xml.rels><?xml version="1.0" encoding="utf-8" standalone="yes"?><Relationships xmlns="http://schemas.openxmlformats.org/package/2006/relationships"><Relationship Id="rId1" Type="http://schemas.openxmlformats.org/officeDocument/2006/relationships/hyperlink" Target="#&#30007;&#23376;&#30003;&#36796;!A1" /><Relationship Id="rId2" Type="http://schemas.openxmlformats.org/officeDocument/2006/relationships/hyperlink" Target="#&#22899;&#23376;&#30003;&#36796;!A1" /><Relationship Id="rId3" Type="http://schemas.openxmlformats.org/officeDocument/2006/relationships/hyperlink" Target="#&#30007;&#23376;&#12487;&#12540;&#12479;!A1" /><Relationship Id="rId4" Type="http://schemas.openxmlformats.org/officeDocument/2006/relationships/hyperlink" Target="#Menu!A1" /><Relationship Id="rId5" Type="http://schemas.openxmlformats.org/officeDocument/2006/relationships/hyperlink" Target="#&#20363;!A1" /></Relationships>
</file>

<file path=xl/drawings/_rels/drawing6.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22899;&#23376;&#30003;&#36796;!A1" /><Relationship Id="rId3" Type="http://schemas.openxmlformats.org/officeDocument/2006/relationships/hyperlink" Target="#&#22899;&#23376;&#12487;&#12540;&#12479;!A1" /><Relationship Id="rId4" Type="http://schemas.openxmlformats.org/officeDocument/2006/relationships/hyperlink" Target="#&#30007;&#23376;&#12487;&#12540;&#12479;!A1" /><Relationship Id="rId5" Type="http://schemas.openxmlformats.org/officeDocument/2006/relationships/hyperlink" Target="#&#22899;&#23376;&#30003;&#36796;!A1" /><Relationship Id="rId6" Type="http://schemas.openxmlformats.org/officeDocument/2006/relationships/hyperlink" Target="#&#22899;&#23376;&#12487;&#12540;&#12479;!A1" /><Relationship Id="rId7" Type="http://schemas.openxmlformats.org/officeDocument/2006/relationships/hyperlink" Target="#&#30007;&#23376;&#12487;&#12540;&#12479;!A1" /><Relationship Id="rId8" Type="http://schemas.openxmlformats.org/officeDocument/2006/relationships/hyperlink" Target="#&#30007;&#23376;&#30003;&#36796;!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xdr:row>
      <xdr:rowOff>9525</xdr:rowOff>
    </xdr:from>
    <xdr:to>
      <xdr:col>3</xdr:col>
      <xdr:colOff>1866900</xdr:colOff>
      <xdr:row>3</xdr:row>
      <xdr:rowOff>247650</xdr:rowOff>
    </xdr:to>
    <xdr:sp>
      <xdr:nvSpPr>
        <xdr:cNvPr id="1" name="AutoShape 1">
          <a:hlinkClick r:id="rId1"/>
        </xdr:cNvPr>
        <xdr:cNvSpPr>
          <a:spLocks/>
        </xdr:cNvSpPr>
      </xdr:nvSpPr>
      <xdr:spPr>
        <a:xfrm>
          <a:off x="4572000" y="7429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3</xdr:col>
      <xdr:colOff>533400</xdr:colOff>
      <xdr:row>7</xdr:row>
      <xdr:rowOff>28575</xdr:rowOff>
    </xdr:from>
    <xdr:to>
      <xdr:col>3</xdr:col>
      <xdr:colOff>1876425</xdr:colOff>
      <xdr:row>7</xdr:row>
      <xdr:rowOff>257175</xdr:rowOff>
    </xdr:to>
    <xdr:sp>
      <xdr:nvSpPr>
        <xdr:cNvPr id="2" name="AutoShape 3">
          <a:hlinkClick r:id="rId2"/>
        </xdr:cNvPr>
        <xdr:cNvSpPr>
          <a:spLocks/>
        </xdr:cNvSpPr>
      </xdr:nvSpPr>
      <xdr:spPr>
        <a:xfrm>
          <a:off x="4581525" y="1447800"/>
          <a:ext cx="1343025"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xdr:col>
      <xdr:colOff>542925</xdr:colOff>
      <xdr:row>9</xdr:row>
      <xdr:rowOff>0</xdr:rowOff>
    </xdr:from>
    <xdr:to>
      <xdr:col>3</xdr:col>
      <xdr:colOff>1885950</xdr:colOff>
      <xdr:row>9</xdr:row>
      <xdr:rowOff>238125</xdr:rowOff>
    </xdr:to>
    <xdr:sp>
      <xdr:nvSpPr>
        <xdr:cNvPr id="3" name="AutoShape 3">
          <a:hlinkClick r:id="rId3"/>
        </xdr:cNvPr>
        <xdr:cNvSpPr>
          <a:spLocks/>
        </xdr:cNvSpPr>
      </xdr:nvSpPr>
      <xdr:spPr>
        <a:xfrm>
          <a:off x="4591050" y="17621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xdr:col>
      <xdr:colOff>533400</xdr:colOff>
      <xdr:row>5</xdr:row>
      <xdr:rowOff>9525</xdr:rowOff>
    </xdr:from>
    <xdr:to>
      <xdr:col>3</xdr:col>
      <xdr:colOff>1876425</xdr:colOff>
      <xdr:row>5</xdr:row>
      <xdr:rowOff>247650</xdr:rowOff>
    </xdr:to>
    <xdr:sp>
      <xdr:nvSpPr>
        <xdr:cNvPr id="4" name="AutoShape 1">
          <a:hlinkClick r:id="rId4"/>
        </xdr:cNvPr>
        <xdr:cNvSpPr>
          <a:spLocks/>
        </xdr:cNvSpPr>
      </xdr:nvSpPr>
      <xdr:spPr>
        <a:xfrm>
          <a:off x="4581525" y="108585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xdr:col>
      <xdr:colOff>552450</xdr:colOff>
      <xdr:row>11</xdr:row>
      <xdr:rowOff>9525</xdr:rowOff>
    </xdr:from>
    <xdr:to>
      <xdr:col>3</xdr:col>
      <xdr:colOff>1895475</xdr:colOff>
      <xdr:row>11</xdr:row>
      <xdr:rowOff>247650</xdr:rowOff>
    </xdr:to>
    <xdr:sp>
      <xdr:nvSpPr>
        <xdr:cNvPr id="5" name="AutoShape 3">
          <a:hlinkClick r:id="rId5"/>
        </xdr:cNvPr>
        <xdr:cNvSpPr>
          <a:spLocks/>
        </xdr:cNvSpPr>
      </xdr:nvSpPr>
      <xdr:spPr>
        <a:xfrm>
          <a:off x="4600575" y="2114550"/>
          <a:ext cx="1343025" cy="238125"/>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390525</xdr:colOff>
      <xdr:row>10</xdr:row>
      <xdr:rowOff>104775</xdr:rowOff>
    </xdr:from>
    <xdr:to>
      <xdr:col>33</xdr:col>
      <xdr:colOff>333375</xdr:colOff>
      <xdr:row>15</xdr:row>
      <xdr:rowOff>66675</xdr:rowOff>
    </xdr:to>
    <xdr:sp>
      <xdr:nvSpPr>
        <xdr:cNvPr id="1" name="AutoShape 12"/>
        <xdr:cNvSpPr>
          <a:spLocks/>
        </xdr:cNvSpPr>
      </xdr:nvSpPr>
      <xdr:spPr>
        <a:xfrm>
          <a:off x="7810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2" name="AutoShape 15"/>
        <xdr:cNvSpPr>
          <a:spLocks/>
        </xdr:cNvSpPr>
      </xdr:nvSpPr>
      <xdr:spPr>
        <a:xfrm>
          <a:off x="8477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676275</xdr:colOff>
      <xdr:row>16</xdr:row>
      <xdr:rowOff>200025</xdr:rowOff>
    </xdr:from>
    <xdr:to>
      <xdr:col>32</xdr:col>
      <xdr:colOff>895350</xdr:colOff>
      <xdr:row>17</xdr:row>
      <xdr:rowOff>142875</xdr:rowOff>
    </xdr:to>
    <xdr:sp>
      <xdr:nvSpPr>
        <xdr:cNvPr id="3" name="AutoShape 22">
          <a:hlinkClick r:id="rId1"/>
        </xdr:cNvPr>
        <xdr:cNvSpPr>
          <a:spLocks/>
        </xdr:cNvSpPr>
      </xdr:nvSpPr>
      <xdr:spPr>
        <a:xfrm>
          <a:off x="8782050" y="411480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31</xdr:col>
      <xdr:colOff>666750</xdr:colOff>
      <xdr:row>18</xdr:row>
      <xdr:rowOff>257175</xdr:rowOff>
    </xdr:from>
    <xdr:to>
      <xdr:col>32</xdr:col>
      <xdr:colOff>895350</xdr:colOff>
      <xdr:row>19</xdr:row>
      <xdr:rowOff>161925</xdr:rowOff>
    </xdr:to>
    <xdr:sp>
      <xdr:nvSpPr>
        <xdr:cNvPr id="4" name="AutoShape 3">
          <a:hlinkClick r:id="rId2"/>
        </xdr:cNvPr>
        <xdr:cNvSpPr>
          <a:spLocks/>
        </xdr:cNvSpPr>
      </xdr:nvSpPr>
      <xdr:spPr>
        <a:xfrm>
          <a:off x="8772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5" name="AutoShape 3">
          <a:hlinkClick r:id="rId3"/>
        </xdr:cNvPr>
        <xdr:cNvSpPr>
          <a:spLocks/>
        </xdr:cNvSpPr>
      </xdr:nvSpPr>
      <xdr:spPr>
        <a:xfrm>
          <a:off x="8782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6" name="AutoShape 1">
          <a:hlinkClick r:id="rId4"/>
        </xdr:cNvPr>
        <xdr:cNvSpPr>
          <a:spLocks/>
        </xdr:cNvSpPr>
      </xdr:nvSpPr>
      <xdr:spPr>
        <a:xfrm>
          <a:off x="8772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31</xdr:col>
      <xdr:colOff>666750</xdr:colOff>
      <xdr:row>20</xdr:row>
      <xdr:rowOff>295275</xdr:rowOff>
    </xdr:from>
    <xdr:to>
      <xdr:col>32</xdr:col>
      <xdr:colOff>885825</xdr:colOff>
      <xdr:row>21</xdr:row>
      <xdr:rowOff>200025</xdr:rowOff>
    </xdr:to>
    <xdr:sp>
      <xdr:nvSpPr>
        <xdr:cNvPr id="7" name="AutoShape 3">
          <a:hlinkClick r:id="rId5"/>
        </xdr:cNvPr>
        <xdr:cNvSpPr>
          <a:spLocks/>
        </xdr:cNvSpPr>
      </xdr:nvSpPr>
      <xdr:spPr>
        <a:xfrm>
          <a:off x="8772525" y="5543550"/>
          <a:ext cx="1333500" cy="238125"/>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15</xdr:col>
      <xdr:colOff>657225</xdr:colOff>
      <xdr:row>16</xdr:row>
      <xdr:rowOff>238125</xdr:rowOff>
    </xdr:to>
    <xdr:sp>
      <xdr:nvSpPr>
        <xdr:cNvPr id="1" name="AutoShape 1">
          <a:hlinkClick r:id="rId1"/>
        </xdr:cNvPr>
        <xdr:cNvSpPr>
          <a:spLocks/>
        </xdr:cNvSpPr>
      </xdr:nvSpPr>
      <xdr:spPr>
        <a:xfrm>
          <a:off x="9896475" y="2714625"/>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14</xdr:col>
      <xdr:colOff>9525</xdr:colOff>
      <xdr:row>18</xdr:row>
      <xdr:rowOff>295275</xdr:rowOff>
    </xdr:from>
    <xdr:to>
      <xdr:col>15</xdr:col>
      <xdr:colOff>666750</xdr:colOff>
      <xdr:row>20</xdr:row>
      <xdr:rowOff>19050</xdr:rowOff>
    </xdr:to>
    <xdr:sp>
      <xdr:nvSpPr>
        <xdr:cNvPr id="2" name="AutoShape 3">
          <a:hlinkClick r:id="rId2"/>
        </xdr:cNvPr>
        <xdr:cNvSpPr>
          <a:spLocks/>
        </xdr:cNvSpPr>
      </xdr:nvSpPr>
      <xdr:spPr>
        <a:xfrm>
          <a:off x="9906000" y="3400425"/>
          <a:ext cx="1343025" cy="2190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14</xdr:col>
      <xdr:colOff>19050</xdr:colOff>
      <xdr:row>20</xdr:row>
      <xdr:rowOff>152400</xdr:rowOff>
    </xdr:from>
    <xdr:to>
      <xdr:col>15</xdr:col>
      <xdr:colOff>676275</xdr:colOff>
      <xdr:row>22</xdr:row>
      <xdr:rowOff>28575</xdr:rowOff>
    </xdr:to>
    <xdr:sp>
      <xdr:nvSpPr>
        <xdr:cNvPr id="3" name="AutoShape 3">
          <a:hlinkClick r:id="rId3"/>
        </xdr:cNvPr>
        <xdr:cNvSpPr>
          <a:spLocks/>
        </xdr:cNvSpPr>
      </xdr:nvSpPr>
      <xdr:spPr>
        <a:xfrm>
          <a:off x="9915525" y="375285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14</xdr:col>
      <xdr:colOff>19050</xdr:colOff>
      <xdr:row>17</xdr:row>
      <xdr:rowOff>66675</xdr:rowOff>
    </xdr:from>
    <xdr:to>
      <xdr:col>15</xdr:col>
      <xdr:colOff>666750</xdr:colOff>
      <xdr:row>18</xdr:row>
      <xdr:rowOff>219075</xdr:rowOff>
    </xdr:to>
    <xdr:sp>
      <xdr:nvSpPr>
        <xdr:cNvPr id="4" name="AutoShape 22">
          <a:hlinkClick r:id="rId4"/>
        </xdr:cNvPr>
        <xdr:cNvSpPr>
          <a:spLocks/>
        </xdr:cNvSpPr>
      </xdr:nvSpPr>
      <xdr:spPr>
        <a:xfrm>
          <a:off x="9915525" y="304800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14</xdr:col>
      <xdr:colOff>28575</xdr:colOff>
      <xdr:row>22</xdr:row>
      <xdr:rowOff>114300</xdr:rowOff>
    </xdr:from>
    <xdr:to>
      <xdr:col>16</xdr:col>
      <xdr:colOff>9525</xdr:colOff>
      <xdr:row>23</xdr:row>
      <xdr:rowOff>152400</xdr:rowOff>
    </xdr:to>
    <xdr:sp>
      <xdr:nvSpPr>
        <xdr:cNvPr id="5" name="AutoShape 3">
          <a:hlinkClick r:id="rId5"/>
        </xdr:cNvPr>
        <xdr:cNvSpPr>
          <a:spLocks/>
        </xdr:cNvSpPr>
      </xdr:nvSpPr>
      <xdr:spPr>
        <a:xfrm>
          <a:off x="9925050" y="4076700"/>
          <a:ext cx="1352550"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390525</xdr:colOff>
      <xdr:row>10</xdr:row>
      <xdr:rowOff>104775</xdr:rowOff>
    </xdr:from>
    <xdr:to>
      <xdr:col>30</xdr:col>
      <xdr:colOff>333375</xdr:colOff>
      <xdr:row>15</xdr:row>
      <xdr:rowOff>66675</xdr:rowOff>
    </xdr:to>
    <xdr:sp>
      <xdr:nvSpPr>
        <xdr:cNvPr id="1" name="AutoShape 2"/>
        <xdr:cNvSpPr>
          <a:spLocks/>
        </xdr:cNvSpPr>
      </xdr:nvSpPr>
      <xdr:spPr>
        <a:xfrm>
          <a:off x="7953375"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371475</xdr:colOff>
      <xdr:row>6</xdr:row>
      <xdr:rowOff>95250</xdr:rowOff>
    </xdr:from>
    <xdr:to>
      <xdr:col>29</xdr:col>
      <xdr:colOff>1266825</xdr:colOff>
      <xdr:row>9</xdr:row>
      <xdr:rowOff>104775</xdr:rowOff>
    </xdr:to>
    <xdr:sp>
      <xdr:nvSpPr>
        <xdr:cNvPr id="2" name="AutoShape 5"/>
        <xdr:cNvSpPr>
          <a:spLocks/>
        </xdr:cNvSpPr>
      </xdr:nvSpPr>
      <xdr:spPr>
        <a:xfrm>
          <a:off x="8620125"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28</xdr:col>
      <xdr:colOff>314325</xdr:colOff>
      <xdr:row>16</xdr:row>
      <xdr:rowOff>142875</xdr:rowOff>
    </xdr:from>
    <xdr:to>
      <xdr:col>29</xdr:col>
      <xdr:colOff>552450</xdr:colOff>
      <xdr:row>17</xdr:row>
      <xdr:rowOff>47625</xdr:rowOff>
    </xdr:to>
    <xdr:sp>
      <xdr:nvSpPr>
        <xdr:cNvPr id="3" name="AutoShape 1">
          <a:hlinkClick r:id="rId1"/>
        </xdr:cNvPr>
        <xdr:cNvSpPr>
          <a:spLocks/>
        </xdr:cNvSpPr>
      </xdr:nvSpPr>
      <xdr:spPr>
        <a:xfrm>
          <a:off x="8562975" y="4057650"/>
          <a:ext cx="1352550"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28</xdr:col>
      <xdr:colOff>333375</xdr:colOff>
      <xdr:row>19</xdr:row>
      <xdr:rowOff>200025</xdr:rowOff>
    </xdr:from>
    <xdr:to>
      <xdr:col>29</xdr:col>
      <xdr:colOff>561975</xdr:colOff>
      <xdr:row>20</xdr:row>
      <xdr:rowOff>104775</xdr:rowOff>
    </xdr:to>
    <xdr:sp>
      <xdr:nvSpPr>
        <xdr:cNvPr id="4" name="AutoShape 3">
          <a:hlinkClick r:id="rId2"/>
        </xdr:cNvPr>
        <xdr:cNvSpPr>
          <a:spLocks/>
        </xdr:cNvSpPr>
      </xdr:nvSpPr>
      <xdr:spPr>
        <a:xfrm>
          <a:off x="8582025" y="5114925"/>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28</xdr:col>
      <xdr:colOff>323850</xdr:colOff>
      <xdr:row>17</xdr:row>
      <xdr:rowOff>142875</xdr:rowOff>
    </xdr:from>
    <xdr:to>
      <xdr:col>29</xdr:col>
      <xdr:colOff>561975</xdr:colOff>
      <xdr:row>18</xdr:row>
      <xdr:rowOff>47625</xdr:rowOff>
    </xdr:to>
    <xdr:sp>
      <xdr:nvSpPr>
        <xdr:cNvPr id="5" name="AutoShape 1">
          <a:hlinkClick r:id="rId3"/>
        </xdr:cNvPr>
        <xdr:cNvSpPr>
          <a:spLocks/>
        </xdr:cNvSpPr>
      </xdr:nvSpPr>
      <xdr:spPr>
        <a:xfrm>
          <a:off x="8572500" y="4391025"/>
          <a:ext cx="1352550"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28</xdr:col>
      <xdr:colOff>352425</xdr:colOff>
      <xdr:row>18</xdr:row>
      <xdr:rowOff>161925</xdr:rowOff>
    </xdr:from>
    <xdr:to>
      <xdr:col>29</xdr:col>
      <xdr:colOff>571500</xdr:colOff>
      <xdr:row>19</xdr:row>
      <xdr:rowOff>104775</xdr:rowOff>
    </xdr:to>
    <xdr:sp>
      <xdr:nvSpPr>
        <xdr:cNvPr id="6" name="AutoShape 22">
          <a:hlinkClick r:id="rId4"/>
        </xdr:cNvPr>
        <xdr:cNvSpPr>
          <a:spLocks/>
        </xdr:cNvSpPr>
      </xdr:nvSpPr>
      <xdr:spPr>
        <a:xfrm>
          <a:off x="8601075" y="47434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28</xdr:col>
      <xdr:colOff>333375</xdr:colOff>
      <xdr:row>20</xdr:row>
      <xdr:rowOff>209550</xdr:rowOff>
    </xdr:from>
    <xdr:to>
      <xdr:col>29</xdr:col>
      <xdr:colOff>561975</xdr:colOff>
      <xdr:row>21</xdr:row>
      <xdr:rowOff>104775</xdr:rowOff>
    </xdr:to>
    <xdr:sp>
      <xdr:nvSpPr>
        <xdr:cNvPr id="7" name="AutoShape 3">
          <a:hlinkClick r:id="rId5"/>
        </xdr:cNvPr>
        <xdr:cNvSpPr>
          <a:spLocks/>
        </xdr:cNvSpPr>
      </xdr:nvSpPr>
      <xdr:spPr>
        <a:xfrm>
          <a:off x="8582025" y="5457825"/>
          <a:ext cx="1343025"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15</xdr:col>
      <xdr:colOff>657225</xdr:colOff>
      <xdr:row>16</xdr:row>
      <xdr:rowOff>238125</xdr:rowOff>
    </xdr:to>
    <xdr:sp>
      <xdr:nvSpPr>
        <xdr:cNvPr id="1" name="AutoShape 1">
          <a:hlinkClick r:id="rId1"/>
        </xdr:cNvPr>
        <xdr:cNvSpPr>
          <a:spLocks/>
        </xdr:cNvSpPr>
      </xdr:nvSpPr>
      <xdr:spPr>
        <a:xfrm>
          <a:off x="9896475" y="2714625"/>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twoCellAnchor>
    <xdr:from>
      <xdr:col>14</xdr:col>
      <xdr:colOff>9525</xdr:colOff>
      <xdr:row>18</xdr:row>
      <xdr:rowOff>295275</xdr:rowOff>
    </xdr:from>
    <xdr:to>
      <xdr:col>15</xdr:col>
      <xdr:colOff>666750</xdr:colOff>
      <xdr:row>20</xdr:row>
      <xdr:rowOff>19050</xdr:rowOff>
    </xdr:to>
    <xdr:sp>
      <xdr:nvSpPr>
        <xdr:cNvPr id="2" name="AutoShape 3">
          <a:hlinkClick r:id="rId2"/>
        </xdr:cNvPr>
        <xdr:cNvSpPr>
          <a:spLocks/>
        </xdr:cNvSpPr>
      </xdr:nvSpPr>
      <xdr:spPr>
        <a:xfrm>
          <a:off x="9906000" y="3400425"/>
          <a:ext cx="1343025" cy="21907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14</xdr:col>
      <xdr:colOff>9525</xdr:colOff>
      <xdr:row>17</xdr:row>
      <xdr:rowOff>66675</xdr:rowOff>
    </xdr:from>
    <xdr:to>
      <xdr:col>15</xdr:col>
      <xdr:colOff>666750</xdr:colOff>
      <xdr:row>18</xdr:row>
      <xdr:rowOff>180975</xdr:rowOff>
    </xdr:to>
    <xdr:sp>
      <xdr:nvSpPr>
        <xdr:cNvPr id="3" name="AutoShape 1">
          <a:hlinkClick r:id="rId3"/>
        </xdr:cNvPr>
        <xdr:cNvSpPr>
          <a:spLocks/>
        </xdr:cNvSpPr>
      </xdr:nvSpPr>
      <xdr:spPr>
        <a:xfrm>
          <a:off x="9906000" y="30480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14</xdr:col>
      <xdr:colOff>19050</xdr:colOff>
      <xdr:row>20</xdr:row>
      <xdr:rowOff>114300</xdr:rowOff>
    </xdr:from>
    <xdr:to>
      <xdr:col>15</xdr:col>
      <xdr:colOff>666750</xdr:colOff>
      <xdr:row>22</xdr:row>
      <xdr:rowOff>28575</xdr:rowOff>
    </xdr:to>
    <xdr:sp>
      <xdr:nvSpPr>
        <xdr:cNvPr id="4" name="AutoShape 22">
          <a:hlinkClick r:id="rId4"/>
        </xdr:cNvPr>
        <xdr:cNvSpPr>
          <a:spLocks/>
        </xdr:cNvSpPr>
      </xdr:nvSpPr>
      <xdr:spPr>
        <a:xfrm>
          <a:off x="9915525" y="37147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14</xdr:col>
      <xdr:colOff>0</xdr:colOff>
      <xdr:row>22</xdr:row>
      <xdr:rowOff>114300</xdr:rowOff>
    </xdr:from>
    <xdr:to>
      <xdr:col>15</xdr:col>
      <xdr:colOff>657225</xdr:colOff>
      <xdr:row>23</xdr:row>
      <xdr:rowOff>152400</xdr:rowOff>
    </xdr:to>
    <xdr:sp>
      <xdr:nvSpPr>
        <xdr:cNvPr id="5" name="AutoShape 3">
          <a:hlinkClick r:id="rId5"/>
        </xdr:cNvPr>
        <xdr:cNvSpPr>
          <a:spLocks/>
        </xdr:cNvSpPr>
      </xdr:nvSpPr>
      <xdr:spPr>
        <a:xfrm>
          <a:off x="9896475" y="4076700"/>
          <a:ext cx="1343025" cy="228600"/>
        </a:xfrm>
        <a:prstGeom prst="bevel">
          <a:avLst/>
        </a:prstGeom>
        <a:solidFill>
          <a:srgbClr val="FAC09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申込１（例）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390525</xdr:colOff>
      <xdr:row>10</xdr:row>
      <xdr:rowOff>104775</xdr:rowOff>
    </xdr:from>
    <xdr:to>
      <xdr:col>33</xdr:col>
      <xdr:colOff>333375</xdr:colOff>
      <xdr:row>15</xdr:row>
      <xdr:rowOff>66675</xdr:rowOff>
    </xdr:to>
    <xdr:sp>
      <xdr:nvSpPr>
        <xdr:cNvPr id="1" name="AutoShape 12"/>
        <xdr:cNvSpPr>
          <a:spLocks/>
        </xdr:cNvSpPr>
      </xdr:nvSpPr>
      <xdr:spPr>
        <a:xfrm>
          <a:off x="7429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2" name="AutoShape 15"/>
        <xdr:cNvSpPr>
          <a:spLocks/>
        </xdr:cNvSpPr>
      </xdr:nvSpPr>
      <xdr:spPr>
        <a:xfrm>
          <a:off x="8096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676275</xdr:colOff>
      <xdr:row>15</xdr:row>
      <xdr:rowOff>247650</xdr:rowOff>
    </xdr:from>
    <xdr:to>
      <xdr:col>32</xdr:col>
      <xdr:colOff>895350</xdr:colOff>
      <xdr:row>16</xdr:row>
      <xdr:rowOff>190500</xdr:rowOff>
    </xdr:to>
    <xdr:sp>
      <xdr:nvSpPr>
        <xdr:cNvPr id="3" name="AutoShape 22">
          <a:hlinkClick r:id="rId1"/>
        </xdr:cNvPr>
        <xdr:cNvSpPr>
          <a:spLocks/>
        </xdr:cNvSpPr>
      </xdr:nvSpPr>
      <xdr:spPr>
        <a:xfrm>
          <a:off x="8401050" y="3829050"/>
          <a:ext cx="1333500" cy="276225"/>
        </a:xfrm>
        <a:prstGeom prst="bevel">
          <a:avLst/>
        </a:prstGeom>
        <a:solidFill>
          <a:srgbClr val="C3D69B"/>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設定メニューへ</a:t>
          </a:r>
        </a:p>
      </xdr:txBody>
    </xdr:sp>
    <xdr:clientData/>
  </xdr:twoCellAnchor>
  <xdr:twoCellAnchor>
    <xdr:from>
      <xdr:col>31</xdr:col>
      <xdr:colOff>666750</xdr:colOff>
      <xdr:row>18</xdr:row>
      <xdr:rowOff>257175</xdr:rowOff>
    </xdr:from>
    <xdr:to>
      <xdr:col>32</xdr:col>
      <xdr:colOff>895350</xdr:colOff>
      <xdr:row>19</xdr:row>
      <xdr:rowOff>161925</xdr:rowOff>
    </xdr:to>
    <xdr:sp>
      <xdr:nvSpPr>
        <xdr:cNvPr id="4" name="AutoShape 3">
          <a:hlinkClick r:id="rId2"/>
        </xdr:cNvPr>
        <xdr:cNvSpPr>
          <a:spLocks/>
        </xdr:cNvSpPr>
      </xdr:nvSpPr>
      <xdr:spPr>
        <a:xfrm>
          <a:off x="8391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5" name="AutoShape 3">
          <a:hlinkClick r:id="rId3"/>
        </xdr:cNvPr>
        <xdr:cNvSpPr>
          <a:spLocks/>
        </xdr:cNvSpPr>
      </xdr:nvSpPr>
      <xdr:spPr>
        <a:xfrm>
          <a:off x="8401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6" name="AutoShape 1">
          <a:hlinkClick r:id="rId4"/>
        </xdr:cNvPr>
        <xdr:cNvSpPr>
          <a:spLocks/>
        </xdr:cNvSpPr>
      </xdr:nvSpPr>
      <xdr:spPr>
        <a:xfrm>
          <a:off x="8391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30</xdr:col>
      <xdr:colOff>390525</xdr:colOff>
      <xdr:row>10</xdr:row>
      <xdr:rowOff>104775</xdr:rowOff>
    </xdr:from>
    <xdr:to>
      <xdr:col>33</xdr:col>
      <xdr:colOff>333375</xdr:colOff>
      <xdr:row>15</xdr:row>
      <xdr:rowOff>66675</xdr:rowOff>
    </xdr:to>
    <xdr:sp>
      <xdr:nvSpPr>
        <xdr:cNvPr id="7" name="AutoShape 12"/>
        <xdr:cNvSpPr>
          <a:spLocks/>
        </xdr:cNvSpPr>
      </xdr:nvSpPr>
      <xdr:spPr>
        <a:xfrm>
          <a:off x="7429500" y="2133600"/>
          <a:ext cx="3600450" cy="15144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371475</xdr:colOff>
      <xdr:row>6</xdr:row>
      <xdr:rowOff>95250</xdr:rowOff>
    </xdr:from>
    <xdr:to>
      <xdr:col>32</xdr:col>
      <xdr:colOff>1266825</xdr:colOff>
      <xdr:row>9</xdr:row>
      <xdr:rowOff>104775</xdr:rowOff>
    </xdr:to>
    <xdr:sp>
      <xdr:nvSpPr>
        <xdr:cNvPr id="8" name="AutoShape 15"/>
        <xdr:cNvSpPr>
          <a:spLocks/>
        </xdr:cNvSpPr>
      </xdr:nvSpPr>
      <xdr:spPr>
        <a:xfrm>
          <a:off x="8096250" y="1409700"/>
          <a:ext cx="2009775" cy="561975"/>
        </a:xfrm>
        <a:prstGeom prst="borderCallout1">
          <a:avLst>
            <a:gd name="adj1" fmla="val -66587"/>
            <a:gd name="adj2" fmla="val 121930"/>
            <a:gd name="adj3" fmla="val -53791"/>
            <a:gd name="adj4" fmla="val -28949"/>
          </a:avLst>
        </a:prstGeom>
        <a:solidFill>
          <a:srgbClr val="CCFFFF"/>
        </a:solidFill>
        <a:ln w="9525" cmpd="sng">
          <a:solidFill>
            <a:srgbClr val="000000"/>
          </a:solidFill>
          <a:headEnd type="stealth"/>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印刷前に申し込みに間違いが無いか必ず確認してください。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このオブジェクトは印刷されません）</a:t>
          </a:r>
        </a:p>
      </xdr:txBody>
    </xdr:sp>
    <xdr:clientData fPrintsWithSheet="0"/>
  </xdr:twoCellAnchor>
  <xdr:twoCellAnchor>
    <xdr:from>
      <xdr:col>31</xdr:col>
      <xdr:colOff>666750</xdr:colOff>
      <xdr:row>18</xdr:row>
      <xdr:rowOff>257175</xdr:rowOff>
    </xdr:from>
    <xdr:to>
      <xdr:col>32</xdr:col>
      <xdr:colOff>895350</xdr:colOff>
      <xdr:row>19</xdr:row>
      <xdr:rowOff>161925</xdr:rowOff>
    </xdr:to>
    <xdr:sp>
      <xdr:nvSpPr>
        <xdr:cNvPr id="9" name="AutoShape 3">
          <a:hlinkClick r:id="rId5"/>
        </xdr:cNvPr>
        <xdr:cNvSpPr>
          <a:spLocks/>
        </xdr:cNvSpPr>
      </xdr:nvSpPr>
      <xdr:spPr>
        <a:xfrm>
          <a:off x="8391525" y="4838700"/>
          <a:ext cx="1343025" cy="238125"/>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女子申込１</a:t>
          </a:r>
        </a:p>
      </xdr:txBody>
    </xdr:sp>
    <xdr:clientData/>
  </xdr:twoCellAnchor>
  <xdr:twoCellAnchor>
    <xdr:from>
      <xdr:col>31</xdr:col>
      <xdr:colOff>676275</xdr:colOff>
      <xdr:row>19</xdr:row>
      <xdr:rowOff>304800</xdr:rowOff>
    </xdr:from>
    <xdr:to>
      <xdr:col>32</xdr:col>
      <xdr:colOff>895350</xdr:colOff>
      <xdr:row>20</xdr:row>
      <xdr:rowOff>200025</xdr:rowOff>
    </xdr:to>
    <xdr:sp>
      <xdr:nvSpPr>
        <xdr:cNvPr id="10" name="AutoShape 3">
          <a:hlinkClick r:id="rId6"/>
        </xdr:cNvPr>
        <xdr:cNvSpPr>
          <a:spLocks/>
        </xdr:cNvSpPr>
      </xdr:nvSpPr>
      <xdr:spPr>
        <a:xfrm>
          <a:off x="8401050" y="5219700"/>
          <a:ext cx="1333500" cy="228600"/>
        </a:xfrm>
        <a:prstGeom prst="bevel">
          <a:avLst/>
        </a:prstGeom>
        <a:solidFill>
          <a:srgbClr val="FF99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女子申込２</a:t>
          </a:r>
        </a:p>
      </xdr:txBody>
    </xdr:sp>
    <xdr:clientData/>
  </xdr:twoCellAnchor>
  <xdr:twoCellAnchor>
    <xdr:from>
      <xdr:col>31</xdr:col>
      <xdr:colOff>666750</xdr:colOff>
      <xdr:row>17</xdr:row>
      <xdr:rowOff>247650</xdr:rowOff>
    </xdr:from>
    <xdr:to>
      <xdr:col>32</xdr:col>
      <xdr:colOff>895350</xdr:colOff>
      <xdr:row>18</xdr:row>
      <xdr:rowOff>152400</xdr:rowOff>
    </xdr:to>
    <xdr:sp>
      <xdr:nvSpPr>
        <xdr:cNvPr id="11" name="AutoShape 1">
          <a:hlinkClick r:id="rId7"/>
        </xdr:cNvPr>
        <xdr:cNvSpPr>
          <a:spLocks/>
        </xdr:cNvSpPr>
      </xdr:nvSpPr>
      <xdr:spPr>
        <a:xfrm>
          <a:off x="8391525" y="44958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男子申込２</a:t>
          </a:r>
        </a:p>
      </xdr:txBody>
    </xdr:sp>
    <xdr:clientData/>
  </xdr:twoCellAnchor>
  <xdr:twoCellAnchor>
    <xdr:from>
      <xdr:col>31</xdr:col>
      <xdr:colOff>666750</xdr:colOff>
      <xdr:row>16</xdr:row>
      <xdr:rowOff>238125</xdr:rowOff>
    </xdr:from>
    <xdr:to>
      <xdr:col>32</xdr:col>
      <xdr:colOff>895350</xdr:colOff>
      <xdr:row>17</xdr:row>
      <xdr:rowOff>142875</xdr:rowOff>
    </xdr:to>
    <xdr:sp>
      <xdr:nvSpPr>
        <xdr:cNvPr id="12" name="AutoShape 1">
          <a:hlinkClick r:id="rId8"/>
        </xdr:cNvPr>
        <xdr:cNvSpPr>
          <a:spLocks/>
        </xdr:cNvSpPr>
      </xdr:nvSpPr>
      <xdr:spPr>
        <a:xfrm>
          <a:off x="8391525" y="4152900"/>
          <a:ext cx="1343025" cy="238125"/>
        </a:xfrm>
        <a:prstGeom prst="bevel">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男子申込１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k931372\Downloads\&#20196;&#21644;5&#24180;&#24230;&#12288;&#12486;&#12491;&#12473;&#30003;&#36796;&#26360;(&#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男子申込"/>
      <sheetName val="男子データ"/>
      <sheetName val="女子申込"/>
      <sheetName val="女子データ"/>
      <sheetName val="処理用"/>
    </sheetNames>
    <sheetDataSet>
      <sheetData sheetId="0">
        <row r="6">
          <cell r="C6" t="str">
            <v>宮崎県立ひむか工業高等学校</v>
          </cell>
        </row>
        <row r="22">
          <cell r="C22" t="str">
            <v>宮崎　二郎</v>
          </cell>
        </row>
        <row r="26">
          <cell r="C26" t="str">
            <v>令和４年４月２８日（金）</v>
          </cell>
        </row>
        <row r="27">
          <cell r="C27" t="str">
            <v>令和４年７月１３日（木）</v>
          </cell>
        </row>
        <row r="28">
          <cell r="C28" t="str">
            <v>令和４年９月２０日（水）</v>
          </cell>
        </row>
      </sheetData>
      <sheetData sheetId="1">
        <row r="41">
          <cell r="H41" t="str">
            <v>８　総体テニス競技参加申込書</v>
          </cell>
          <cell r="J41" t="str">
            <v>（５名）</v>
          </cell>
          <cell r="K41" t="str">
            <v>（４組）</v>
          </cell>
          <cell r="L41" t="str">
            <v>（８名）</v>
          </cell>
          <cell r="M41">
            <v>5</v>
          </cell>
          <cell r="N41" t="str">
            <v>令和４年４月２８日（金）</v>
          </cell>
        </row>
        <row r="42">
          <cell r="H42" t="str">
            <v>８　一年生テニス競技参加申込書</v>
          </cell>
          <cell r="J42" t="str">
            <v>（６名）</v>
          </cell>
          <cell r="K42" t="str">
            <v>（制限なし）</v>
          </cell>
          <cell r="L42" t="str">
            <v>（制限なし）</v>
          </cell>
          <cell r="M42">
            <v>6</v>
          </cell>
          <cell r="N42" t="str">
            <v>令和４年７月１３日（木）</v>
          </cell>
        </row>
        <row r="43">
          <cell r="H43" t="str">
            <v>８　新人テニス競技参加申込書</v>
          </cell>
          <cell r="J43" t="str">
            <v>（９名）</v>
          </cell>
          <cell r="K43" t="str">
            <v>（４組）</v>
          </cell>
          <cell r="L43" t="str">
            <v>（６名）</v>
          </cell>
          <cell r="M43">
            <v>9</v>
          </cell>
          <cell r="N43" t="str">
            <v>令和４年９月２０日（水）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38"/>
  <sheetViews>
    <sheetView showGridLines="0" tabSelected="1" view="pageBreakPreview" zoomScale="91" zoomScaleNormal="90" zoomScaleSheetLayoutView="91" zoomScalePageLayoutView="0" workbookViewId="0" topLeftCell="A1">
      <selection activeCell="C8" sqref="C8"/>
    </sheetView>
  </sheetViews>
  <sheetFormatPr defaultColWidth="9.00390625" defaultRowHeight="13.5"/>
  <cols>
    <col min="2" max="2" width="17.25390625" style="0" bestFit="1" customWidth="1"/>
    <col min="3" max="3" width="26.875" style="0" customWidth="1"/>
    <col min="4" max="4" width="27.875" style="0" customWidth="1"/>
  </cols>
  <sheetData>
    <row r="1" spans="2:7" ht="28.5" customHeight="1">
      <c r="B1" s="119" t="s">
        <v>51</v>
      </c>
      <c r="C1" s="120"/>
      <c r="D1" s="120"/>
      <c r="G1" s="43" t="s">
        <v>52</v>
      </c>
    </row>
    <row r="2" spans="2:4" ht="21.75" customHeight="1">
      <c r="B2" s="121" t="s">
        <v>130</v>
      </c>
      <c r="C2" s="122"/>
      <c r="D2" s="122"/>
    </row>
    <row r="3" ht="7.5" customHeight="1"/>
    <row r="4" spans="2:3" ht="21.75" customHeight="1">
      <c r="B4" s="51" t="s">
        <v>28</v>
      </c>
      <c r="C4" s="103" t="s">
        <v>100</v>
      </c>
    </row>
    <row r="5" ht="5.25" customHeight="1">
      <c r="B5" s="52"/>
    </row>
    <row r="6" spans="2:3" ht="21.75" customHeight="1">
      <c r="B6" s="51" t="s">
        <v>11</v>
      </c>
      <c r="C6" s="104" t="s">
        <v>101</v>
      </c>
    </row>
    <row r="7" ht="5.25" customHeight="1">
      <c r="B7" s="52"/>
    </row>
    <row r="8" spans="2:3" ht="21.75" customHeight="1">
      <c r="B8" s="51" t="s">
        <v>23</v>
      </c>
      <c r="C8" s="104" t="s">
        <v>100</v>
      </c>
    </row>
    <row r="9" ht="5.25" customHeight="1">
      <c r="B9" s="52"/>
    </row>
    <row r="10" spans="2:3" ht="21.75" customHeight="1">
      <c r="B10" s="51" t="s">
        <v>18</v>
      </c>
      <c r="C10" s="104" t="s">
        <v>102</v>
      </c>
    </row>
    <row r="11" ht="5.25" customHeight="1">
      <c r="B11" s="52"/>
    </row>
    <row r="12" spans="2:3" ht="21.75" customHeight="1">
      <c r="B12" s="51" t="s">
        <v>20</v>
      </c>
      <c r="C12" s="104" t="s">
        <v>103</v>
      </c>
    </row>
    <row r="13" ht="5.25" customHeight="1">
      <c r="B13" s="52"/>
    </row>
    <row r="14" spans="2:4" ht="21.75" customHeight="1">
      <c r="B14" s="51" t="s">
        <v>19</v>
      </c>
      <c r="C14" s="117"/>
      <c r="D14" s="118"/>
    </row>
    <row r="15" ht="5.25" customHeight="1">
      <c r="B15" s="52"/>
    </row>
    <row r="16" spans="2:4" ht="21.75" customHeight="1">
      <c r="B16" s="51" t="s">
        <v>26</v>
      </c>
      <c r="C16" s="105"/>
      <c r="D16" s="17"/>
    </row>
    <row r="17" spans="2:4" ht="5.25" customHeight="1">
      <c r="B17" s="52"/>
      <c r="D17" s="18"/>
    </row>
    <row r="18" spans="2:4" ht="21.75" customHeight="1">
      <c r="B18" s="51" t="s">
        <v>27</v>
      </c>
      <c r="C18" s="105"/>
      <c r="D18" s="17"/>
    </row>
    <row r="19" spans="2:4" ht="5.25" customHeight="1">
      <c r="B19" s="52"/>
      <c r="D19" s="18"/>
    </row>
    <row r="20" spans="2:3" ht="21.75" customHeight="1">
      <c r="B20" s="51" t="s">
        <v>32</v>
      </c>
      <c r="C20" s="104" t="s">
        <v>102</v>
      </c>
    </row>
    <row r="21" ht="5.25" customHeight="1">
      <c r="B21" s="52"/>
    </row>
    <row r="22" spans="2:4" ht="21.75" customHeight="1">
      <c r="B22" s="51" t="s">
        <v>21</v>
      </c>
      <c r="C22" s="104" t="s">
        <v>102</v>
      </c>
      <c r="D22" t="s">
        <v>48</v>
      </c>
    </row>
    <row r="23" ht="5.25" customHeight="1">
      <c r="B23" s="52"/>
    </row>
    <row r="24" spans="2:4" ht="21.75" customHeight="1">
      <c r="B24" s="51" t="s">
        <v>22</v>
      </c>
      <c r="C24" s="104" t="s">
        <v>102</v>
      </c>
      <c r="D24" t="s">
        <v>48</v>
      </c>
    </row>
    <row r="25" ht="13.5">
      <c r="B25" s="49"/>
    </row>
    <row r="26" spans="2:3" ht="13.5">
      <c r="B26" s="50" t="s">
        <v>38</v>
      </c>
      <c r="C26" s="45" t="s">
        <v>132</v>
      </c>
    </row>
    <row r="27" spans="2:3" ht="13.5">
      <c r="B27" s="50" t="s">
        <v>39</v>
      </c>
      <c r="C27" s="44" t="s">
        <v>133</v>
      </c>
    </row>
    <row r="28" spans="2:3" ht="13.5">
      <c r="B28" s="50" t="s">
        <v>40</v>
      </c>
      <c r="C28" s="44" t="s">
        <v>134</v>
      </c>
    </row>
    <row r="33" ht="13.5">
      <c r="B33" t="s">
        <v>49</v>
      </c>
    </row>
    <row r="34" ht="13.5">
      <c r="B34" t="s">
        <v>97</v>
      </c>
    </row>
    <row r="35" ht="13.5">
      <c r="B35" t="s">
        <v>98</v>
      </c>
    </row>
    <row r="37" ht="13.5">
      <c r="B37" t="s">
        <v>50</v>
      </c>
    </row>
    <row r="38" spans="2:3" ht="13.5">
      <c r="B38" s="123" t="s">
        <v>99</v>
      </c>
      <c r="C38" s="123"/>
    </row>
  </sheetData>
  <sheetProtection/>
  <mergeCells count="4">
    <mergeCell ref="C14:D14"/>
    <mergeCell ref="B1:D1"/>
    <mergeCell ref="B2:D2"/>
    <mergeCell ref="B38:C38"/>
  </mergeCells>
  <hyperlinks>
    <hyperlink ref="G1" location="処理用!A1" display="処理用!A1"/>
  </hyperlinks>
  <printOptions/>
  <pageMargins left="0.787" right="0.787" top="0.984" bottom="0.984" header="0.512" footer="0.512"/>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J95"/>
  <sheetViews>
    <sheetView showGridLines="0" showRowColHeaders="0" view="pageBreakPreview" zoomScale="106" zoomScaleNormal="124" zoomScaleSheetLayoutView="106" zoomScalePageLayoutView="0" workbookViewId="0" topLeftCell="E7">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8.75390625" style="19" customWidth="1"/>
    <col min="9" max="9" width="17.50390625" style="19" customWidth="1"/>
    <col min="10" max="10" width="5.375" style="19" bestFit="1" customWidth="1"/>
    <col min="11" max="13" width="9.125" style="25" customWidth="1"/>
    <col min="14" max="14" width="11.625" style="25" customWidth="1"/>
    <col min="15" max="15" width="2.375" style="19" customWidth="1"/>
    <col min="16" max="16" width="6.75390625" style="19" hidden="1" customWidth="1"/>
    <col min="17" max="20" width="9.375" style="19" hidden="1" customWidth="1"/>
    <col min="21" max="29" width="9.00390625" style="19" hidden="1" customWidth="1"/>
    <col min="30" max="31" width="9.00390625" style="19" customWidth="1"/>
    <col min="32" max="32" width="14.625" style="19" customWidth="1"/>
    <col min="33" max="33" width="24.375" style="19" customWidth="1"/>
    <col min="34" max="34" width="31.625" style="19" bestFit="1" customWidth="1"/>
    <col min="35" max="16384" width="9.00390625" style="19" customWidth="1"/>
  </cols>
  <sheetData>
    <row r="1" spans="5:20" ht="20.25">
      <c r="E1" s="140" t="s">
        <v>53</v>
      </c>
      <c r="F1" s="140"/>
      <c r="G1" s="140"/>
      <c r="H1" s="140"/>
      <c r="I1" s="140"/>
      <c r="J1" s="140"/>
      <c r="K1" s="140"/>
      <c r="L1" s="140"/>
      <c r="M1" s="140"/>
      <c r="N1" s="140"/>
      <c r="O1" s="87"/>
      <c r="P1" s="88"/>
      <c r="Q1" s="23"/>
      <c r="R1" s="23"/>
      <c r="S1" s="23"/>
      <c r="T1" s="23"/>
    </row>
    <row r="2" spans="5:20" ht="6" customHeight="1" thickBot="1">
      <c r="E2" s="23"/>
      <c r="F2" s="23"/>
      <c r="G2" s="23"/>
      <c r="H2" s="23"/>
      <c r="I2" s="23"/>
      <c r="J2" s="23"/>
      <c r="K2" s="23"/>
      <c r="L2" s="23"/>
      <c r="M2" s="23"/>
      <c r="N2" s="23"/>
      <c r="O2" s="23"/>
      <c r="P2" s="23"/>
      <c r="Q2" s="23"/>
      <c r="R2" s="23"/>
      <c r="S2" s="23"/>
      <c r="T2" s="23"/>
    </row>
    <row r="3" spans="6:9" ht="30" customHeight="1" thickBot="1">
      <c r="F3" s="124" t="s">
        <v>12</v>
      </c>
      <c r="G3" s="125"/>
      <c r="H3" s="126"/>
      <c r="I3" s="24"/>
    </row>
    <row r="4" spans="6:9" ht="18.75" customHeight="1">
      <c r="F4" s="25"/>
      <c r="G4" s="25"/>
      <c r="H4" s="25"/>
      <c r="I4" s="25"/>
    </row>
    <row r="5" ht="14.25"/>
    <row r="6" ht="14.25"/>
    <row r="7" ht="14.25">
      <c r="V7" s="19" t="s">
        <v>12</v>
      </c>
    </row>
    <row r="8" ht="14.25"/>
    <row r="9" ht="15" thickBot="1">
      <c r="V9" s="19" t="s">
        <v>15</v>
      </c>
    </row>
    <row r="10" spans="6:26" ht="12.75" customHeight="1">
      <c r="F10" s="132" t="s">
        <v>37</v>
      </c>
      <c r="G10" s="136" t="s">
        <v>0</v>
      </c>
      <c r="H10" s="137"/>
      <c r="I10" s="141" t="s">
        <v>34</v>
      </c>
      <c r="J10" s="143" t="s">
        <v>1</v>
      </c>
      <c r="K10" s="42" t="s">
        <v>42</v>
      </c>
      <c r="L10" s="42" t="s">
        <v>43</v>
      </c>
      <c r="M10" s="42" t="s">
        <v>44</v>
      </c>
      <c r="N10" s="130" t="s">
        <v>2</v>
      </c>
      <c r="X10" s="37" t="str">
        <f>IF(COUNTIF(K13:K24,"○")=VLOOKUP(E1,$H$41:$M$43,6,FALSE),"","○")</f>
        <v>○</v>
      </c>
      <c r="Y10" s="19">
        <f>IF(COUNTIF($M$13:$M$24,1)&gt;=1,"",1)</f>
        <v>1</v>
      </c>
      <c r="Z10" s="19">
        <f>IF(COUNTIF($L$13:$L$24,1)&gt;=2,"",1)</f>
        <v>1</v>
      </c>
    </row>
    <row r="11" spans="6:26" ht="12.75" customHeight="1" thickBot="1">
      <c r="F11" s="133"/>
      <c r="G11" s="138"/>
      <c r="H11" s="139"/>
      <c r="I11" s="142"/>
      <c r="J11" s="144"/>
      <c r="K11" s="48" t="str">
        <f>VLOOKUP(E1,$H$41:$L$43,3,FALSE)</f>
        <v>（５名）</v>
      </c>
      <c r="L11" s="48" t="str">
        <f>VLOOKUP(E1,$H$41:$L$43,4,FALSE)</f>
        <v>（４組）</v>
      </c>
      <c r="M11" s="48" t="str">
        <f>VLOOKUP(E1,$H$41:$L$43,5,FALSE)</f>
        <v>（８名）</v>
      </c>
      <c r="N11" s="131"/>
      <c r="Y11" s="19">
        <f>IF(COUNTIF($M$13:$M$24,2)&gt;=1,"",2)</f>
        <v>2</v>
      </c>
      <c r="Z11" s="19">
        <f>IF(COUNTIF($L$13:$L$24,2)&gt;=2,"",2)</f>
        <v>2</v>
      </c>
    </row>
    <row r="12" spans="6:33" ht="30.75" customHeight="1" thickBot="1" thickTop="1">
      <c r="F12" s="26" t="s">
        <v>29</v>
      </c>
      <c r="G12" s="134" t="str">
        <f>Menu!C22</f>
        <v>○○　○○</v>
      </c>
      <c r="H12" s="135"/>
      <c r="I12" s="27" t="s">
        <v>33</v>
      </c>
      <c r="J12" s="28"/>
      <c r="K12" s="28"/>
      <c r="L12" s="28"/>
      <c r="M12" s="28"/>
      <c r="N12" s="29"/>
      <c r="Y12" s="19">
        <f>IF(COUNTIF($M$13:$M$24,3)&gt;=1,"",3)</f>
        <v>3</v>
      </c>
      <c r="Z12" s="19">
        <f>IF(COUNTIF($L$13:$L$24,3)&gt;=2,"",3)</f>
        <v>3</v>
      </c>
      <c r="AF12" s="145" t="str">
        <f>MID(E1,3,30)</f>
        <v>総体テニス競技参加申込書</v>
      </c>
      <c r="AG12" s="145"/>
    </row>
    <row r="13" spans="1:34" ht="26.25" customHeight="1" thickTop="1">
      <c r="A13" s="19">
        <f aca="true" t="shared" si="0" ref="A13:A24">IF(U13="","",RANK(U13,$U$13:$U$24,1))</f>
      </c>
      <c r="B13" s="19">
        <f aca="true" t="shared" si="1" ref="B13:B24">IF(V13="","",RANK(V13,$V$13:$V$24,1))</f>
      </c>
      <c r="C13" s="19">
        <f>IF(M13="","",M13)</f>
      </c>
      <c r="F13" s="30">
        <v>1</v>
      </c>
      <c r="G13" s="89"/>
      <c r="H13" s="90"/>
      <c r="I13" s="91"/>
      <c r="J13" s="92"/>
      <c r="K13" s="92"/>
      <c r="L13" s="92"/>
      <c r="M13" s="92"/>
      <c r="N13" s="93"/>
      <c r="P13" s="19">
        <f>G13</f>
        <v>0</v>
      </c>
      <c r="Q13" s="19">
        <f>H13</f>
        <v>0</v>
      </c>
      <c r="R13" s="19">
        <f>J13</f>
        <v>0</v>
      </c>
      <c r="S13" s="37" t="s">
        <v>96</v>
      </c>
      <c r="T13" s="19">
        <f>IF(COUNT(L13:M13)+COUNTA(K13)&gt;0,1,0)</f>
        <v>0</v>
      </c>
      <c r="U13" s="19">
        <f>IF(K13="○",F13,"")</f>
      </c>
      <c r="V13" s="19">
        <f>IF(L13="","",L13+F13/10)</f>
      </c>
      <c r="Y13" s="19">
        <f>IF(COUNTIF($M$13:$M$24,4)&gt;=1,"",4)</f>
        <v>4</v>
      </c>
      <c r="Z13" s="19">
        <f>IF(COUNTIF($L$13:$L$24,4)&gt;=2,"",4)</f>
        <v>4</v>
      </c>
      <c r="AA13" s="19" t="s">
        <v>13</v>
      </c>
      <c r="AF13" s="31" t="s">
        <v>7</v>
      </c>
      <c r="AG13" s="129" t="str">
        <f>IF(COUNTA(K13:K24)&gt;0,"参加します( "&amp;COUNTA(K13:K24)&amp;" 名)","参加しません")</f>
        <v>参加しません</v>
      </c>
      <c r="AH13" s="129"/>
    </row>
    <row r="14" spans="1:34" ht="26.25" customHeight="1">
      <c r="A14" s="19">
        <f t="shared" si="0"/>
      </c>
      <c r="B14" s="19">
        <f t="shared" si="1"/>
      </c>
      <c r="C14" s="19">
        <f aca="true" t="shared" si="2" ref="C14:C24">IF(M14="","",M14)</f>
      </c>
      <c r="F14" s="32">
        <v>2</v>
      </c>
      <c r="G14" s="94"/>
      <c r="H14" s="90"/>
      <c r="I14" s="91"/>
      <c r="J14" s="95"/>
      <c r="K14" s="95"/>
      <c r="L14" s="95"/>
      <c r="M14" s="95"/>
      <c r="N14" s="96"/>
      <c r="P14" s="19">
        <f aca="true" t="shared" si="3" ref="P14:P24">G14</f>
        <v>0</v>
      </c>
      <c r="Q14" s="19">
        <f aca="true" t="shared" si="4" ref="Q14:Q24">H14</f>
        <v>0</v>
      </c>
      <c r="R14" s="19">
        <f aca="true" t="shared" si="5" ref="R14:R24">J14</f>
        <v>0</v>
      </c>
      <c r="S14" s="37" t="s">
        <v>95</v>
      </c>
      <c r="T14" s="19">
        <f aca="true" t="shared" si="6" ref="T14:T24">IF(COUNT(L14:M14)+COUNTA(K14)&gt;0,1,0)</f>
        <v>0</v>
      </c>
      <c r="U14" s="19">
        <f aca="true" t="shared" si="7" ref="U14:U24">IF(K14="○",F14,"")</f>
      </c>
      <c r="V14" s="19">
        <f aca="true" t="shared" si="8" ref="V14:V24">IF(L14="","",L14+F14/10)</f>
      </c>
      <c r="Y14" s="19">
        <f>IF(COUNTIF($M$13:$M$24,5)&gt;=1,"",5)</f>
        <v>5</v>
      </c>
      <c r="Z14" s="19">
        <f>IF(COUNTIF($L$13:$L$24,5)&gt;=2,"",5)</f>
        <v>5</v>
      </c>
      <c r="AA14" s="19" t="s">
        <v>14</v>
      </c>
      <c r="AF14" s="31" t="s">
        <v>35</v>
      </c>
      <c r="AG14" s="16" t="str">
        <f>IF(V28=V29,V29&amp;" 組","申し込みに不備が有ります")</f>
        <v>0 組</v>
      </c>
      <c r="AH14" s="16"/>
    </row>
    <row r="15" spans="1:34" ht="26.25" customHeight="1">
      <c r="A15" s="19">
        <f t="shared" si="0"/>
      </c>
      <c r="B15" s="19">
        <f t="shared" si="1"/>
      </c>
      <c r="C15" s="19">
        <f t="shared" si="2"/>
      </c>
      <c r="F15" s="32">
        <v>3</v>
      </c>
      <c r="G15" s="94"/>
      <c r="H15" s="90"/>
      <c r="I15" s="91"/>
      <c r="J15" s="95"/>
      <c r="K15" s="95"/>
      <c r="L15" s="95"/>
      <c r="M15" s="95"/>
      <c r="N15" s="96"/>
      <c r="P15" s="19">
        <f t="shared" si="3"/>
        <v>0</v>
      </c>
      <c r="Q15" s="19">
        <f t="shared" si="4"/>
        <v>0</v>
      </c>
      <c r="R15" s="19">
        <f t="shared" si="5"/>
        <v>0</v>
      </c>
      <c r="S15" s="37" t="s">
        <v>94</v>
      </c>
      <c r="T15" s="19">
        <f t="shared" si="6"/>
        <v>0</v>
      </c>
      <c r="U15" s="19">
        <f t="shared" si="7"/>
      </c>
      <c r="V15" s="19">
        <f t="shared" si="8"/>
      </c>
      <c r="Y15" s="19">
        <f>IF(COUNTIF($M$13:$M$24,6)&gt;=1,"",6)</f>
        <v>6</v>
      </c>
      <c r="Z15" s="19">
        <f>IF(COUNTIF($L$13:$L$24,6)&gt;=2,"",6)</f>
        <v>6</v>
      </c>
      <c r="AF15" s="31" t="s">
        <v>9</v>
      </c>
      <c r="AG15" s="16" t="str">
        <f>IF(COUNT(M13:M24)=MAX(M13:M24),MAX(M13:M24)&amp;" 人","申し込みに不備が有ります")</f>
        <v>0 人</v>
      </c>
      <c r="AH15" s="16"/>
    </row>
    <row r="16" spans="1:25" ht="26.25" customHeight="1">
      <c r="A16" s="19">
        <f t="shared" si="0"/>
      </c>
      <c r="B16" s="19">
        <f t="shared" si="1"/>
      </c>
      <c r="C16" s="19">
        <f t="shared" si="2"/>
      </c>
      <c r="F16" s="32">
        <v>4</v>
      </c>
      <c r="G16" s="94"/>
      <c r="H16" s="90"/>
      <c r="I16" s="91"/>
      <c r="J16" s="95"/>
      <c r="K16" s="95"/>
      <c r="L16" s="95"/>
      <c r="M16" s="95"/>
      <c r="N16" s="96"/>
      <c r="P16" s="19">
        <f t="shared" si="3"/>
        <v>0</v>
      </c>
      <c r="Q16" s="19">
        <f t="shared" si="4"/>
        <v>0</v>
      </c>
      <c r="R16" s="19">
        <f t="shared" si="5"/>
        <v>0</v>
      </c>
      <c r="T16" s="19">
        <f t="shared" si="6"/>
        <v>0</v>
      </c>
      <c r="U16" s="19">
        <f t="shared" si="7"/>
      </c>
      <c r="V16" s="19">
        <f t="shared" si="8"/>
      </c>
      <c r="X16" s="37"/>
      <c r="Y16" s="19">
        <f>IF(COUNTIF($M$13:$M$24,7)&gt;=1,"",7)</f>
        <v>7</v>
      </c>
    </row>
    <row r="17" spans="1:25" ht="26.25" customHeight="1">
      <c r="A17" s="19">
        <f t="shared" si="0"/>
      </c>
      <c r="B17" s="19">
        <f t="shared" si="1"/>
      </c>
      <c r="C17" s="19">
        <f t="shared" si="2"/>
      </c>
      <c r="F17" s="32">
        <v>5</v>
      </c>
      <c r="G17" s="94"/>
      <c r="H17" s="90"/>
      <c r="I17" s="91"/>
      <c r="J17" s="95"/>
      <c r="K17" s="95"/>
      <c r="L17" s="95"/>
      <c r="M17" s="95"/>
      <c r="N17" s="96"/>
      <c r="P17" s="19">
        <f t="shared" si="3"/>
        <v>0</v>
      </c>
      <c r="Q17" s="19">
        <f t="shared" si="4"/>
        <v>0</v>
      </c>
      <c r="R17" s="19">
        <f t="shared" si="5"/>
        <v>0</v>
      </c>
      <c r="T17" s="19">
        <f t="shared" si="6"/>
        <v>0</v>
      </c>
      <c r="U17" s="19">
        <f t="shared" si="7"/>
      </c>
      <c r="V17" s="19">
        <f t="shared" si="8"/>
      </c>
      <c r="X17" s="19">
        <f>IF(E1=H43,IF(COUNTIF($K$13:$K$24,7)&gt;=1,"",7),"")</f>
      </c>
      <c r="Y17" s="19">
        <f>IF(COUNTIF($M$13:$M$24,8)&gt;=1,"",8)</f>
        <v>8</v>
      </c>
    </row>
    <row r="18" spans="1:25" ht="26.25" customHeight="1">
      <c r="A18" s="19">
        <f t="shared" si="0"/>
      </c>
      <c r="B18" s="19">
        <f t="shared" si="1"/>
      </c>
      <c r="C18" s="19">
        <f t="shared" si="2"/>
      </c>
      <c r="F18" s="32">
        <v>6</v>
      </c>
      <c r="G18" s="94"/>
      <c r="H18" s="90"/>
      <c r="I18" s="91"/>
      <c r="J18" s="95"/>
      <c r="K18" s="95"/>
      <c r="L18" s="95"/>
      <c r="M18" s="95"/>
      <c r="N18" s="96"/>
      <c r="P18" s="19">
        <f t="shared" si="3"/>
        <v>0</v>
      </c>
      <c r="Q18" s="19">
        <f t="shared" si="4"/>
        <v>0</v>
      </c>
      <c r="R18" s="19">
        <f t="shared" si="5"/>
        <v>0</v>
      </c>
      <c r="T18" s="19">
        <f t="shared" si="6"/>
        <v>0</v>
      </c>
      <c r="U18" s="19">
        <f t="shared" si="7"/>
      </c>
      <c r="V18" s="19">
        <f t="shared" si="8"/>
      </c>
      <c r="X18" s="19">
        <f>IF(E1=H43,IF(COUNTIF($K$13:$K$24,8)&gt;=1,"",8),"")</f>
      </c>
      <c r="Y18" s="19">
        <f>IF(COUNTIF($M$13:$M$24,9)&gt;=1,"",9)</f>
        <v>9</v>
      </c>
    </row>
    <row r="19" spans="1:25" ht="26.25" customHeight="1">
      <c r="A19" s="19">
        <f t="shared" si="0"/>
      </c>
      <c r="B19" s="19">
        <f t="shared" si="1"/>
      </c>
      <c r="C19" s="19">
        <f t="shared" si="2"/>
      </c>
      <c r="F19" s="32">
        <v>7</v>
      </c>
      <c r="G19" s="94"/>
      <c r="H19" s="90"/>
      <c r="I19" s="91"/>
      <c r="J19" s="95"/>
      <c r="K19" s="95"/>
      <c r="L19" s="95"/>
      <c r="M19" s="95"/>
      <c r="N19" s="96"/>
      <c r="P19" s="19">
        <f t="shared" si="3"/>
        <v>0</v>
      </c>
      <c r="Q19" s="19">
        <f t="shared" si="4"/>
        <v>0</v>
      </c>
      <c r="R19" s="19">
        <f t="shared" si="5"/>
        <v>0</v>
      </c>
      <c r="T19" s="19">
        <f t="shared" si="6"/>
        <v>0</v>
      </c>
      <c r="U19" s="19">
        <f>IF(K19="○",F19,"")</f>
      </c>
      <c r="V19" s="19">
        <f t="shared" si="8"/>
      </c>
      <c r="X19" s="19">
        <f>IF(E1=H43,IF(COUNTIF($K$13:$K$24,9)&gt;=1,"",9),"")</f>
      </c>
      <c r="Y19" s="19">
        <f>IF(COUNTIF($M$13:$M$24,10)&gt;=1,"",10)</f>
        <v>10</v>
      </c>
    </row>
    <row r="20" spans="1:25" ht="26.25" customHeight="1">
      <c r="A20" s="19">
        <f t="shared" si="0"/>
      </c>
      <c r="B20" s="19">
        <f t="shared" si="1"/>
      </c>
      <c r="C20" s="19">
        <f t="shared" si="2"/>
      </c>
      <c r="F20" s="32">
        <v>8</v>
      </c>
      <c r="G20" s="94"/>
      <c r="H20" s="90"/>
      <c r="I20" s="91"/>
      <c r="J20" s="95"/>
      <c r="K20" s="95"/>
      <c r="L20" s="95"/>
      <c r="M20" s="95"/>
      <c r="N20" s="96"/>
      <c r="P20" s="19">
        <f t="shared" si="3"/>
        <v>0</v>
      </c>
      <c r="Q20" s="19">
        <f t="shared" si="4"/>
        <v>0</v>
      </c>
      <c r="R20" s="19">
        <f t="shared" si="5"/>
        <v>0</v>
      </c>
      <c r="T20" s="19">
        <f t="shared" si="6"/>
        <v>0</v>
      </c>
      <c r="U20" s="19">
        <f t="shared" si="7"/>
      </c>
      <c r="V20" s="19">
        <f t="shared" si="8"/>
      </c>
      <c r="Y20" s="19">
        <f>IF(COUNTIF($M$13:$M$24,11)&gt;=1,"",11)</f>
        <v>11</v>
      </c>
    </row>
    <row r="21" spans="1:25" ht="26.25" customHeight="1">
      <c r="A21" s="19">
        <f t="shared" si="0"/>
      </c>
      <c r="B21" s="19">
        <f t="shared" si="1"/>
      </c>
      <c r="C21" s="19">
        <f t="shared" si="2"/>
      </c>
      <c r="F21" s="32">
        <v>9</v>
      </c>
      <c r="G21" s="94"/>
      <c r="H21" s="90"/>
      <c r="I21" s="91"/>
      <c r="J21" s="95"/>
      <c r="K21" s="95"/>
      <c r="L21" s="95"/>
      <c r="M21" s="95"/>
      <c r="N21" s="96"/>
      <c r="P21" s="19">
        <f t="shared" si="3"/>
        <v>0</v>
      </c>
      <c r="Q21" s="19">
        <f t="shared" si="4"/>
        <v>0</v>
      </c>
      <c r="R21" s="19">
        <f t="shared" si="5"/>
        <v>0</v>
      </c>
      <c r="T21" s="19">
        <f t="shared" si="6"/>
        <v>0</v>
      </c>
      <c r="U21" s="19">
        <f>IF(K21="○",F21,"")</f>
      </c>
      <c r="V21" s="19">
        <f t="shared" si="8"/>
      </c>
      <c r="Y21" s="19">
        <f>IF(COUNTIF($M$13:$M$24,12)&gt;=1,"",12)</f>
        <v>12</v>
      </c>
    </row>
    <row r="22" spans="1:22" ht="26.25" customHeight="1">
      <c r="A22" s="19">
        <f t="shared" si="0"/>
      </c>
      <c r="B22" s="19">
        <f t="shared" si="1"/>
      </c>
      <c r="C22" s="19">
        <f t="shared" si="2"/>
      </c>
      <c r="F22" s="32">
        <v>10</v>
      </c>
      <c r="G22" s="94"/>
      <c r="H22" s="90"/>
      <c r="I22" s="91"/>
      <c r="J22" s="95"/>
      <c r="K22" s="95"/>
      <c r="L22" s="95"/>
      <c r="M22" s="95"/>
      <c r="N22" s="96"/>
      <c r="P22" s="19">
        <f t="shared" si="3"/>
        <v>0</v>
      </c>
      <c r="Q22" s="19">
        <f t="shared" si="4"/>
        <v>0</v>
      </c>
      <c r="R22" s="19">
        <f t="shared" si="5"/>
        <v>0</v>
      </c>
      <c r="T22" s="19">
        <f t="shared" si="6"/>
        <v>0</v>
      </c>
      <c r="U22" s="19">
        <f t="shared" si="7"/>
      </c>
      <c r="V22" s="19">
        <f t="shared" si="8"/>
      </c>
    </row>
    <row r="23" spans="1:22" ht="26.25" customHeight="1">
      <c r="A23" s="19">
        <f t="shared" si="0"/>
      </c>
      <c r="B23" s="19">
        <f t="shared" si="1"/>
      </c>
      <c r="C23" s="19">
        <f t="shared" si="2"/>
      </c>
      <c r="F23" s="32">
        <v>11</v>
      </c>
      <c r="G23" s="94"/>
      <c r="H23" s="90"/>
      <c r="I23" s="91"/>
      <c r="J23" s="95"/>
      <c r="K23" s="97"/>
      <c r="L23" s="95"/>
      <c r="M23" s="95"/>
      <c r="N23" s="96"/>
      <c r="P23" s="19">
        <f t="shared" si="3"/>
        <v>0</v>
      </c>
      <c r="Q23" s="19">
        <f t="shared" si="4"/>
        <v>0</v>
      </c>
      <c r="R23" s="19">
        <f t="shared" si="5"/>
        <v>0</v>
      </c>
      <c r="T23" s="19">
        <f>IF(COUNT(L23:M23)+COUNTA(#REF!)&gt;0,1,0)</f>
        <v>1</v>
      </c>
      <c r="U23" s="19">
        <f>IF(K23="○",F23,"")</f>
      </c>
      <c r="V23" s="19">
        <f>IF(L23="","",L23+F23/10)</f>
      </c>
    </row>
    <row r="24" spans="1:22" ht="26.25" customHeight="1" thickBot="1">
      <c r="A24" s="19">
        <f t="shared" si="0"/>
      </c>
      <c r="B24" s="19">
        <f t="shared" si="1"/>
      </c>
      <c r="C24" s="19">
        <f t="shared" si="2"/>
      </c>
      <c r="F24" s="59">
        <v>12</v>
      </c>
      <c r="G24" s="98"/>
      <c r="H24" s="99"/>
      <c r="I24" s="100"/>
      <c r="J24" s="101"/>
      <c r="K24" s="101"/>
      <c r="L24" s="101"/>
      <c r="M24" s="101"/>
      <c r="N24" s="102"/>
      <c r="P24" s="19">
        <f t="shared" si="3"/>
        <v>0</v>
      </c>
      <c r="Q24" s="19">
        <f t="shared" si="4"/>
        <v>0</v>
      </c>
      <c r="R24" s="19">
        <f t="shared" si="5"/>
        <v>0</v>
      </c>
      <c r="T24" s="19">
        <f t="shared" si="6"/>
        <v>0</v>
      </c>
      <c r="U24" s="19">
        <f t="shared" si="7"/>
      </c>
      <c r="V24" s="19">
        <f t="shared" si="8"/>
      </c>
    </row>
    <row r="25" spans="6:14" ht="28.5" customHeight="1" thickBot="1">
      <c r="F25" s="20"/>
      <c r="G25" s="20"/>
      <c r="H25" s="20"/>
      <c r="I25" s="20"/>
      <c r="J25" s="20"/>
      <c r="K25" s="33"/>
      <c r="L25" s="53" t="s">
        <v>6</v>
      </c>
      <c r="M25" s="127">
        <f>COUNTA(I13:I24)</f>
        <v>0</v>
      </c>
      <c r="N25" s="128"/>
    </row>
    <row r="26" spans="6:22" ht="13.5">
      <c r="F26" s="34"/>
      <c r="G26" s="35" t="str">
        <f>"申込締切日　：　"&amp;VLOOKUP(E1,'男子申込'!$H$41:$N$43,7,FALSE)</f>
        <v>申込締切日　：　令和５年４月２８日（金）</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93</v>
      </c>
      <c r="I28" s="35"/>
      <c r="J28" s="35"/>
      <c r="K28" s="36"/>
      <c r="L28" s="36"/>
      <c r="M28" s="36"/>
      <c r="N28" s="36"/>
      <c r="V28" s="19">
        <f>MAX(L13:L24)</f>
        <v>0</v>
      </c>
    </row>
    <row r="29" spans="6:22" ht="13.5">
      <c r="F29" s="34" t="s">
        <v>24</v>
      </c>
      <c r="G29" s="35" t="s">
        <v>92</v>
      </c>
      <c r="I29" s="35"/>
      <c r="J29" s="35"/>
      <c r="K29" s="36"/>
      <c r="L29" s="36"/>
      <c r="M29" s="36"/>
      <c r="N29" s="36"/>
      <c r="V29" s="19">
        <f>ROUNDDOWN(COUNT(L13:L24)/2,0)</f>
        <v>0</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t="s">
        <v>60</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t="str">
        <f>Menu!C6</f>
        <v>○○高等学校</v>
      </c>
      <c r="K36" s="153"/>
      <c r="L36" s="153"/>
      <c r="M36" s="38" t="str">
        <f>"校長　　"&amp;Menu!C10&amp;"　印"</f>
        <v>校長　　○○　○○　印</v>
      </c>
      <c r="N36" s="33"/>
    </row>
    <row r="37" spans="6:14" ht="13.5">
      <c r="F37" s="20"/>
      <c r="G37" s="20"/>
      <c r="H37" s="20"/>
      <c r="I37" s="20"/>
      <c r="J37" s="20"/>
      <c r="K37" s="33"/>
      <c r="L37" s="33"/>
      <c r="M37" s="33"/>
      <c r="N37" s="33"/>
    </row>
    <row r="39" spans="11:14" s="54" customFormat="1" ht="13.5">
      <c r="K39" s="55"/>
      <c r="L39" s="55"/>
      <c r="M39" s="55"/>
      <c r="N39" s="55"/>
    </row>
    <row r="40" spans="11:14" s="54" customFormat="1" ht="12" customHeight="1" hidden="1">
      <c r="K40" s="55"/>
      <c r="L40" s="55"/>
      <c r="M40" s="55"/>
      <c r="N40" s="55"/>
    </row>
    <row r="41" spans="8:14" s="54" customFormat="1" ht="13.5" hidden="1">
      <c r="H41" s="54" t="s">
        <v>53</v>
      </c>
      <c r="J41" s="54" t="s">
        <v>90</v>
      </c>
      <c r="K41" s="54" t="s">
        <v>41</v>
      </c>
      <c r="L41" s="54" t="s">
        <v>45</v>
      </c>
      <c r="M41" s="54">
        <v>5</v>
      </c>
      <c r="N41" s="56" t="str">
        <f>Menu!C26</f>
        <v>令和５年４月２８日（金）</v>
      </c>
    </row>
    <row r="42" spans="8:14" s="54" customFormat="1" ht="13.5" hidden="1">
      <c r="H42" s="54" t="s">
        <v>54</v>
      </c>
      <c r="J42" s="54" t="s">
        <v>56</v>
      </c>
      <c r="K42" s="54" t="s">
        <v>46</v>
      </c>
      <c r="L42" s="54" t="s">
        <v>46</v>
      </c>
      <c r="M42" s="54">
        <v>6</v>
      </c>
      <c r="N42" s="56" t="str">
        <f>Menu!C27</f>
        <v>令和５年７月１３日（木）</v>
      </c>
    </row>
    <row r="43" spans="8:14" s="54" customFormat="1" ht="13.5" hidden="1">
      <c r="H43" s="54" t="s">
        <v>55</v>
      </c>
      <c r="J43" s="54" t="s">
        <v>57</v>
      </c>
      <c r="K43" s="54" t="s">
        <v>41</v>
      </c>
      <c r="L43" s="54" t="s">
        <v>56</v>
      </c>
      <c r="M43" s="54">
        <v>9</v>
      </c>
      <c r="N43" s="56" t="str">
        <f>Menu!C28</f>
        <v>令和５年９月２０日（水）</v>
      </c>
    </row>
    <row r="44" spans="11:36" s="54" customFormat="1" ht="22.5" customHeight="1" hidden="1">
      <c r="K44" s="55"/>
      <c r="L44" s="55"/>
      <c r="M44" s="55"/>
      <c r="N44" s="55"/>
      <c r="AJ44" s="57"/>
    </row>
    <row r="45" spans="11:36" s="54" customFormat="1" ht="13.5">
      <c r="K45" s="55"/>
      <c r="L45" s="55"/>
      <c r="M45" s="55"/>
      <c r="N45" s="55"/>
      <c r="AI45" s="57"/>
      <c r="AJ45" s="58"/>
    </row>
    <row r="46" spans="11:36" s="54" customFormat="1" ht="13.5">
      <c r="K46" s="55"/>
      <c r="M46" s="55"/>
      <c r="N46" s="55"/>
      <c r="AI46" s="55"/>
      <c r="AJ46" s="58"/>
    </row>
    <row r="47" spans="12:36" ht="13.5">
      <c r="L47" s="19"/>
      <c r="AJ47" s="15"/>
    </row>
    <row r="48" spans="12:35" ht="13.5">
      <c r="L48" s="19"/>
      <c r="AI48" s="14"/>
    </row>
    <row r="49" spans="6:7" ht="13.5">
      <c r="F49" s="43" t="s">
        <v>52</v>
      </c>
      <c r="G49" s="43"/>
    </row>
    <row r="90" ht="14.25" thickBot="1"/>
    <row r="91" spans="32:34" ht="13.5">
      <c r="AF91" s="39" t="s">
        <v>3</v>
      </c>
      <c r="AG91" s="21" t="str">
        <f>Menu!C6</f>
        <v>○○高等学校</v>
      </c>
      <c r="AH91" s="22" t="str">
        <f>"学校番号：　"&amp;Menu!C4</f>
        <v>学校番号：　○○</v>
      </c>
    </row>
    <row r="92" spans="32:34" ht="13.5">
      <c r="AF92" s="40" t="s">
        <v>4</v>
      </c>
      <c r="AG92" s="148" t="str">
        <f>Menu!C12&amp;"　"&amp;Menu!C14</f>
        <v>〒○○○-○○○○　</v>
      </c>
      <c r="AH92" s="149"/>
    </row>
    <row r="93" spans="32:34" ht="13.5">
      <c r="AF93" s="40" t="s">
        <v>25</v>
      </c>
      <c r="AG93" s="150">
        <f>Menu!C16</f>
        <v>0</v>
      </c>
      <c r="AH93" s="151"/>
    </row>
    <row r="94" spans="32:34" ht="13.5">
      <c r="AF94" s="40" t="s">
        <v>36</v>
      </c>
      <c r="AG94" s="150">
        <f>Menu!C18</f>
        <v>0</v>
      </c>
      <c r="AH94" s="151"/>
    </row>
    <row r="95" spans="32:34" ht="14.25" thickBot="1">
      <c r="AF95" s="41" t="s">
        <v>30</v>
      </c>
      <c r="AG95" s="146" t="str">
        <f>Menu!C20</f>
        <v>○○　○○</v>
      </c>
      <c r="AH95" s="147"/>
    </row>
  </sheetData>
  <sheetProtection/>
  <mergeCells count="17">
    <mergeCell ref="E1:N1"/>
    <mergeCell ref="I10:I11"/>
    <mergeCell ref="J10:J11"/>
    <mergeCell ref="AF12:AG12"/>
    <mergeCell ref="AG95:AH95"/>
    <mergeCell ref="AG92:AH92"/>
    <mergeCell ref="AG93:AH93"/>
    <mergeCell ref="AG94:AH94"/>
    <mergeCell ref="H34:I34"/>
    <mergeCell ref="J36:L36"/>
    <mergeCell ref="F3:H3"/>
    <mergeCell ref="M25:N25"/>
    <mergeCell ref="AG13:AH13"/>
    <mergeCell ref="N10:N11"/>
    <mergeCell ref="F10:F11"/>
    <mergeCell ref="G12:H12"/>
    <mergeCell ref="G10:H11"/>
  </mergeCells>
  <conditionalFormatting sqref="AG14:AG15">
    <cfRule type="cellIs" priority="1" dxfId="6" operator="equal" stopIfTrue="1">
      <formula>"申し込みに不備が有ります"</formula>
    </cfRule>
  </conditionalFormatting>
  <conditionalFormatting sqref="AG13:AH13">
    <cfRule type="cellIs" priority="2" dxfId="6" operator="equal" stopIfTrue="1">
      <formula>"参加しません"</formula>
    </cfRule>
  </conditionalFormatting>
  <dataValidations count="7">
    <dataValidation allowBlank="1" showInputMessage="1" showErrorMessage="1" imeMode="on" sqref="N13:N24 H13:I24"/>
    <dataValidation type="list" allowBlank="1" showInputMessage="1" showErrorMessage="1" imeMode="off" sqref="L13:L24">
      <formula1>$Z$10:$Z$15</formula1>
    </dataValidation>
    <dataValidation type="list" allowBlank="1" showInputMessage="1" showErrorMessage="1" imeMode="off" sqref="M13:M24">
      <formula1>$Y$10:$Y$21</formula1>
    </dataValidation>
    <dataValidation type="list" allowBlank="1" showInputMessage="1" showErrorMessage="1" imeMode="off" sqref="J13:J24">
      <formula1>$S$13:$S$15</formula1>
    </dataValidation>
    <dataValidation type="list" allowBlank="1" showInputMessage="1" showErrorMessage="1" sqref="I3">
      <formula1>$V$6:$V$9</formula1>
    </dataValidation>
    <dataValidation type="list" allowBlank="1" showInputMessage="1" showErrorMessage="1" sqref="E1">
      <formula1>$H$41:$H$43</formula1>
    </dataValidation>
    <dataValidation type="list" allowBlank="1" showInputMessage="1" showErrorMessage="1" sqref="K13:K24">
      <formula1>$X$10:$X$11</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3.xml><?xml version="1.0" encoding="utf-8"?>
<worksheet xmlns="http://schemas.openxmlformats.org/spreadsheetml/2006/main" xmlns:r="http://schemas.openxmlformats.org/officeDocument/2006/relationships">
  <dimension ref="A1:S59"/>
  <sheetViews>
    <sheetView showGridLines="0" showRowColHeaders="0" view="pageBreakPreview" zoomScale="60" zoomScalePageLayoutView="0" workbookViewId="0" topLeftCell="A1">
      <selection activeCell="A1" sqref="A1"/>
    </sheetView>
  </sheetViews>
  <sheetFormatPr defaultColWidth="9.00390625" defaultRowHeight="13.5"/>
  <cols>
    <col min="1" max="1" width="2.25390625" style="62" customWidth="1"/>
    <col min="2" max="10" width="11.75390625" style="62" customWidth="1"/>
    <col min="11" max="11" width="12.875" style="62" customWidth="1"/>
    <col min="12" max="13" width="0" style="62" hidden="1" customWidth="1"/>
    <col min="14" max="16384" width="9.00390625" style="62" customWidth="1"/>
  </cols>
  <sheetData>
    <row r="1" spans="1:19" ht="12">
      <c r="A1" s="60"/>
      <c r="B1" s="61" t="s">
        <v>61</v>
      </c>
      <c r="C1" s="60"/>
      <c r="D1" s="60"/>
      <c r="E1" s="60"/>
      <c r="F1" s="60"/>
      <c r="G1" s="60"/>
      <c r="H1" s="60"/>
      <c r="I1" s="60"/>
      <c r="J1" s="60"/>
      <c r="K1" s="60"/>
      <c r="L1" s="60"/>
      <c r="M1" s="60"/>
      <c r="N1" s="60"/>
      <c r="O1" s="60"/>
      <c r="P1" s="60"/>
      <c r="Q1" s="60"/>
      <c r="R1" s="60"/>
      <c r="S1" s="60"/>
    </row>
    <row r="2" spans="1:19" ht="7.5" customHeight="1">
      <c r="A2" s="60"/>
      <c r="B2" s="61"/>
      <c r="C2" s="60"/>
      <c r="D2" s="60"/>
      <c r="E2" s="60"/>
      <c r="F2" s="60"/>
      <c r="G2" s="60"/>
      <c r="H2" s="60"/>
      <c r="I2" s="60"/>
      <c r="J2" s="60"/>
      <c r="K2" s="60"/>
      <c r="L2" s="60"/>
      <c r="M2" s="60"/>
      <c r="N2" s="60"/>
      <c r="O2" s="60"/>
      <c r="P2" s="60"/>
      <c r="Q2" s="60"/>
      <c r="R2" s="60"/>
      <c r="S2" s="60"/>
    </row>
    <row r="3" spans="1:19" ht="13.5" customHeight="1">
      <c r="A3" s="60"/>
      <c r="B3" s="154" t="s">
        <v>62</v>
      </c>
      <c r="C3" s="154"/>
      <c r="D3" s="154"/>
      <c r="E3" s="154"/>
      <c r="F3" s="154"/>
      <c r="G3" s="154"/>
      <c r="H3" s="154"/>
      <c r="I3" s="154"/>
      <c r="J3" s="154"/>
      <c r="K3" s="154"/>
      <c r="L3" s="60"/>
      <c r="M3" s="60"/>
      <c r="N3" s="60"/>
      <c r="O3" s="60"/>
      <c r="P3" s="60"/>
      <c r="Q3" s="60"/>
      <c r="R3" s="60"/>
      <c r="S3" s="60"/>
    </row>
    <row r="4" spans="1:19" ht="13.5" customHeight="1">
      <c r="A4" s="60"/>
      <c r="B4" s="154"/>
      <c r="C4" s="154"/>
      <c r="D4" s="154"/>
      <c r="E4" s="154"/>
      <c r="F4" s="154"/>
      <c r="G4" s="154"/>
      <c r="H4" s="154"/>
      <c r="I4" s="154"/>
      <c r="J4" s="154"/>
      <c r="K4" s="154"/>
      <c r="L4" s="60"/>
      <c r="M4" s="60"/>
      <c r="N4" s="60"/>
      <c r="O4" s="60"/>
      <c r="P4" s="60"/>
      <c r="Q4" s="60"/>
      <c r="R4" s="60"/>
      <c r="S4" s="60"/>
    </row>
    <row r="5" spans="1:19" ht="13.5" customHeight="1">
      <c r="A5" s="60"/>
      <c r="B5" s="154"/>
      <c r="C5" s="154"/>
      <c r="D5" s="154"/>
      <c r="E5" s="154"/>
      <c r="F5" s="154"/>
      <c r="G5" s="154"/>
      <c r="H5" s="154"/>
      <c r="I5" s="154"/>
      <c r="J5" s="154"/>
      <c r="K5" s="154"/>
      <c r="L5" s="60"/>
      <c r="M5" s="60"/>
      <c r="N5" s="60"/>
      <c r="O5" s="60"/>
      <c r="P5" s="60"/>
      <c r="Q5" s="60"/>
      <c r="R5" s="60"/>
      <c r="S5" s="60"/>
    </row>
    <row r="6" spans="1:19" ht="13.5" customHeight="1">
      <c r="A6" s="60"/>
      <c r="B6" s="154"/>
      <c r="C6" s="154"/>
      <c r="D6" s="154"/>
      <c r="E6" s="154"/>
      <c r="F6" s="154"/>
      <c r="G6" s="154"/>
      <c r="H6" s="154"/>
      <c r="I6" s="154"/>
      <c r="J6" s="154"/>
      <c r="K6" s="154"/>
      <c r="L6" s="60"/>
      <c r="M6" s="60"/>
      <c r="N6" s="60"/>
      <c r="O6" s="60"/>
      <c r="P6" s="60"/>
      <c r="Q6" s="60"/>
      <c r="R6" s="60"/>
      <c r="S6" s="60"/>
    </row>
    <row r="7" spans="1:19" ht="13.5" customHeight="1">
      <c r="A7" s="60"/>
      <c r="B7" s="154"/>
      <c r="C7" s="154"/>
      <c r="D7" s="154"/>
      <c r="E7" s="154"/>
      <c r="F7" s="154"/>
      <c r="G7" s="154"/>
      <c r="H7" s="154"/>
      <c r="I7" s="154"/>
      <c r="J7" s="154"/>
      <c r="K7" s="154"/>
      <c r="L7" s="60"/>
      <c r="M7" s="60"/>
      <c r="N7" s="60"/>
      <c r="O7" s="60"/>
      <c r="P7" s="60"/>
      <c r="Q7" s="60"/>
      <c r="R7" s="60"/>
      <c r="S7" s="60"/>
    </row>
    <row r="8" spans="1:19" ht="13.5" customHeight="1">
      <c r="A8" s="60"/>
      <c r="B8" s="154"/>
      <c r="C8" s="154"/>
      <c r="D8" s="154"/>
      <c r="E8" s="154"/>
      <c r="F8" s="154"/>
      <c r="G8" s="154"/>
      <c r="H8" s="154"/>
      <c r="I8" s="154"/>
      <c r="J8" s="154"/>
      <c r="K8" s="154"/>
      <c r="L8" s="60"/>
      <c r="M8" s="60"/>
      <c r="N8" s="60"/>
      <c r="O8" s="60"/>
      <c r="P8" s="60"/>
      <c r="Q8" s="60"/>
      <c r="R8" s="60"/>
      <c r="S8" s="60"/>
    </row>
    <row r="9" spans="1:19" ht="13.5" customHeight="1">
      <c r="A9" s="60"/>
      <c r="B9" s="154"/>
      <c r="C9" s="154"/>
      <c r="D9" s="154"/>
      <c r="E9" s="154"/>
      <c r="F9" s="154"/>
      <c r="G9" s="154"/>
      <c r="H9" s="154"/>
      <c r="I9" s="154"/>
      <c r="J9" s="154"/>
      <c r="K9" s="154"/>
      <c r="L9" s="60"/>
      <c r="M9" s="60"/>
      <c r="N9" s="60"/>
      <c r="O9" s="60"/>
      <c r="P9" s="60"/>
      <c r="Q9" s="60"/>
      <c r="R9" s="60"/>
      <c r="S9" s="60"/>
    </row>
    <row r="10" spans="1:19" ht="13.5" customHeight="1">
      <c r="A10" s="60"/>
      <c r="B10" s="154"/>
      <c r="C10" s="154"/>
      <c r="D10" s="154"/>
      <c r="E10" s="154"/>
      <c r="F10" s="154"/>
      <c r="G10" s="154"/>
      <c r="H10" s="154"/>
      <c r="I10" s="154"/>
      <c r="J10" s="154"/>
      <c r="K10" s="154"/>
      <c r="L10" s="60"/>
      <c r="M10" s="60"/>
      <c r="N10" s="60"/>
      <c r="O10" s="60"/>
      <c r="P10" s="60"/>
      <c r="Q10" s="60"/>
      <c r="R10" s="60"/>
      <c r="S10" s="60"/>
    </row>
    <row r="11" spans="1:19" ht="10.5" customHeight="1">
      <c r="A11" s="60"/>
      <c r="B11" s="60"/>
      <c r="C11" s="60"/>
      <c r="D11" s="60"/>
      <c r="E11" s="60"/>
      <c r="F11" s="60"/>
      <c r="G11" s="60"/>
      <c r="H11" s="60"/>
      <c r="I11" s="60"/>
      <c r="J11" s="60"/>
      <c r="K11" s="60"/>
      <c r="L11" s="60"/>
      <c r="M11" s="60"/>
      <c r="N11" s="60"/>
      <c r="O11" s="60"/>
      <c r="P11" s="60"/>
      <c r="Q11" s="60"/>
      <c r="R11" s="60"/>
      <c r="S11" s="60"/>
    </row>
    <row r="12" spans="1:19" ht="21" customHeight="1">
      <c r="A12" s="60"/>
      <c r="B12" s="63" t="s">
        <v>63</v>
      </c>
      <c r="D12" s="106" t="s">
        <v>64</v>
      </c>
      <c r="E12" s="65"/>
      <c r="H12" s="60"/>
      <c r="I12" s="60"/>
      <c r="J12" s="60"/>
      <c r="K12" s="60"/>
      <c r="L12" s="60"/>
      <c r="M12" s="60"/>
      <c r="N12" s="60"/>
      <c r="O12" s="60"/>
      <c r="P12" s="60"/>
      <c r="Q12" s="60"/>
      <c r="R12" s="60"/>
      <c r="S12" s="60"/>
    </row>
    <row r="13" spans="1:19" ht="12">
      <c r="A13" s="60"/>
      <c r="B13" s="60"/>
      <c r="C13" s="60"/>
      <c r="D13" s="60"/>
      <c r="E13" s="66"/>
      <c r="F13" s="60"/>
      <c r="G13" s="60"/>
      <c r="H13" s="60"/>
      <c r="I13" s="60"/>
      <c r="J13" s="60"/>
      <c r="K13" s="60"/>
      <c r="L13" s="60"/>
      <c r="M13" s="60"/>
      <c r="N13" s="60"/>
      <c r="O13" s="60"/>
      <c r="P13" s="60"/>
      <c r="Q13" s="60"/>
      <c r="R13" s="60"/>
      <c r="S13" s="60"/>
    </row>
    <row r="14" spans="1:19" ht="12">
      <c r="A14" s="60"/>
      <c r="B14" s="60"/>
      <c r="C14" s="60"/>
      <c r="D14" s="60"/>
      <c r="E14" s="60"/>
      <c r="F14" s="60"/>
      <c r="G14" s="60"/>
      <c r="H14" s="60"/>
      <c r="I14" s="60"/>
      <c r="J14" s="60"/>
      <c r="K14" s="60"/>
      <c r="L14" s="60"/>
      <c r="M14" s="60"/>
      <c r="N14" s="60"/>
      <c r="O14" s="60"/>
      <c r="P14" s="60"/>
      <c r="Q14" s="60"/>
      <c r="R14" s="60"/>
      <c r="S14" s="60"/>
    </row>
    <row r="15" spans="1:19" ht="8.25" customHeight="1">
      <c r="A15" s="60"/>
      <c r="B15" s="60"/>
      <c r="C15" s="60"/>
      <c r="D15" s="60"/>
      <c r="E15" s="60"/>
      <c r="F15" s="60"/>
      <c r="G15" s="60"/>
      <c r="H15" s="60"/>
      <c r="I15" s="60"/>
      <c r="J15" s="60"/>
      <c r="K15" s="60"/>
      <c r="L15" s="60"/>
      <c r="M15" s="60"/>
      <c r="N15" s="60"/>
      <c r="O15" s="60"/>
      <c r="P15" s="60"/>
      <c r="Q15" s="60"/>
      <c r="R15" s="60"/>
      <c r="S15" s="60"/>
    </row>
    <row r="16" spans="1:19" ht="22.5" customHeight="1">
      <c r="A16" s="60"/>
      <c r="B16" s="155" t="s">
        <v>65</v>
      </c>
      <c r="C16" s="157" t="s">
        <v>66</v>
      </c>
      <c r="D16" s="159" t="str">
        <f>Menu!C6</f>
        <v>○○高等学校</v>
      </c>
      <c r="E16" s="160"/>
      <c r="F16" s="60"/>
      <c r="G16" s="60"/>
      <c r="H16" s="60"/>
      <c r="I16" s="60"/>
      <c r="J16" s="60"/>
      <c r="K16" s="60"/>
      <c r="L16" s="60"/>
      <c r="M16" s="60"/>
      <c r="N16" s="60"/>
      <c r="O16" s="60"/>
      <c r="P16" s="60"/>
      <c r="Q16" s="60"/>
      <c r="R16" s="60"/>
      <c r="S16" s="60"/>
    </row>
    <row r="17" spans="1:19" ht="21" customHeight="1">
      <c r="A17" s="67"/>
      <c r="B17" s="156"/>
      <c r="C17" s="158"/>
      <c r="D17" s="159"/>
      <c r="E17" s="160"/>
      <c r="F17" s="60"/>
      <c r="G17" s="60"/>
      <c r="H17" s="60"/>
      <c r="I17" s="60"/>
      <c r="J17" s="60"/>
      <c r="K17" s="60"/>
      <c r="L17" s="60"/>
      <c r="M17" s="60"/>
      <c r="N17" s="60"/>
      <c r="O17" s="60"/>
      <c r="P17" s="60"/>
      <c r="Q17" s="60"/>
      <c r="R17" s="60"/>
      <c r="S17" s="60"/>
    </row>
    <row r="18" spans="1:19" ht="9.75" customHeight="1">
      <c r="A18" s="67"/>
      <c r="B18" s="67"/>
      <c r="C18" s="67"/>
      <c r="D18" s="67"/>
      <c r="E18" s="67"/>
      <c r="F18" s="67"/>
      <c r="G18" s="67"/>
      <c r="H18" s="68"/>
      <c r="I18" s="68"/>
      <c r="J18" s="68"/>
      <c r="K18" s="68"/>
      <c r="L18" s="60"/>
      <c r="M18" s="60"/>
      <c r="N18" s="60"/>
      <c r="O18" s="60"/>
      <c r="P18" s="60"/>
      <c r="Q18" s="60"/>
      <c r="R18" s="60"/>
      <c r="S18" s="60"/>
    </row>
    <row r="19" spans="1:19" ht="23.25" customHeight="1">
      <c r="A19" s="60"/>
      <c r="B19" s="69" t="s">
        <v>67</v>
      </c>
      <c r="C19" s="60"/>
      <c r="D19" s="70" t="s">
        <v>68</v>
      </c>
      <c r="E19" s="60"/>
      <c r="F19" s="60"/>
      <c r="G19" s="60"/>
      <c r="H19" s="60"/>
      <c r="I19" s="60"/>
      <c r="J19" s="60"/>
      <c r="K19" s="60"/>
      <c r="L19" s="60"/>
      <c r="M19" s="60"/>
      <c r="N19" s="60"/>
      <c r="O19" s="60"/>
      <c r="P19" s="60"/>
      <c r="Q19" s="60"/>
      <c r="R19" s="60"/>
      <c r="S19" s="60"/>
    </row>
    <row r="20" spans="1:19" ht="15.75" customHeight="1">
      <c r="A20" s="60"/>
      <c r="B20" s="60" t="s">
        <v>91</v>
      </c>
      <c r="C20" s="67"/>
      <c r="D20" s="60"/>
      <c r="E20" s="60"/>
      <c r="F20" s="60"/>
      <c r="G20" s="60"/>
      <c r="H20" s="60"/>
      <c r="I20" s="60"/>
      <c r="J20" s="60"/>
      <c r="K20" s="60"/>
      <c r="L20" s="60"/>
      <c r="M20" s="60"/>
      <c r="N20" s="60"/>
      <c r="O20" s="60"/>
      <c r="P20" s="60"/>
      <c r="Q20" s="60"/>
      <c r="R20" s="60"/>
      <c r="S20" s="60"/>
    </row>
    <row r="21" spans="1:19" ht="19.5" customHeight="1">
      <c r="A21" s="60"/>
      <c r="B21" s="71"/>
      <c r="C21" s="60"/>
      <c r="D21" s="60"/>
      <c r="E21" s="60"/>
      <c r="F21" s="60"/>
      <c r="G21" s="60"/>
      <c r="H21" s="60"/>
      <c r="I21" s="60"/>
      <c r="J21" s="60"/>
      <c r="K21" s="60"/>
      <c r="L21" s="60"/>
      <c r="M21" s="60"/>
      <c r="N21" s="60"/>
      <c r="O21" s="60"/>
      <c r="P21" s="60"/>
      <c r="Q21" s="60"/>
      <c r="R21" s="60"/>
      <c r="S21" s="60"/>
    </row>
    <row r="22" spans="1:19" ht="9" customHeight="1">
      <c r="A22" s="60"/>
      <c r="B22" s="72"/>
      <c r="C22" s="72"/>
      <c r="D22" s="73"/>
      <c r="E22" s="60"/>
      <c r="F22" s="60"/>
      <c r="G22" s="60"/>
      <c r="H22" s="60"/>
      <c r="I22" s="60"/>
      <c r="J22" s="60"/>
      <c r="K22" s="60"/>
      <c r="L22" s="60"/>
      <c r="M22" s="60"/>
      <c r="N22" s="60"/>
      <c r="O22" s="60"/>
      <c r="P22" s="60"/>
      <c r="Q22" s="60"/>
      <c r="R22" s="60"/>
      <c r="S22" s="60"/>
    </row>
    <row r="23" spans="1:19" ht="15" customHeight="1">
      <c r="A23" s="60"/>
      <c r="B23" s="72"/>
      <c r="C23" s="74"/>
      <c r="D23" s="60"/>
      <c r="E23" s="60"/>
      <c r="F23" s="60"/>
      <c r="G23" s="60"/>
      <c r="H23" s="60"/>
      <c r="I23" s="60"/>
      <c r="J23" s="60"/>
      <c r="K23" s="60"/>
      <c r="L23" s="60"/>
      <c r="M23" s="60"/>
      <c r="N23" s="60"/>
      <c r="O23" s="60"/>
      <c r="P23" s="60"/>
      <c r="Q23" s="60"/>
      <c r="R23" s="60"/>
      <c r="S23" s="60"/>
    </row>
    <row r="24" spans="1:19" ht="24.75" customHeight="1">
      <c r="A24" s="60"/>
      <c r="B24" s="75" t="s">
        <v>71</v>
      </c>
      <c r="C24" s="75" t="s">
        <v>72</v>
      </c>
      <c r="D24" s="75" t="s">
        <v>73</v>
      </c>
      <c r="E24" s="75" t="s">
        <v>74</v>
      </c>
      <c r="F24" s="75" t="s">
        <v>75</v>
      </c>
      <c r="G24" s="75" t="s">
        <v>76</v>
      </c>
      <c r="H24" s="75" t="s">
        <v>77</v>
      </c>
      <c r="I24" s="76" t="s">
        <v>78</v>
      </c>
      <c r="J24" s="77" t="s">
        <v>79</v>
      </c>
      <c r="K24" s="77" t="s">
        <v>80</v>
      </c>
      <c r="L24" s="60"/>
      <c r="M24" s="60"/>
      <c r="N24" s="60"/>
      <c r="O24" s="60"/>
      <c r="P24" s="60"/>
      <c r="Q24" s="60"/>
      <c r="R24" s="60"/>
      <c r="S24" s="60"/>
    </row>
    <row r="25" spans="1:19" ht="24.75" customHeight="1">
      <c r="A25" s="60"/>
      <c r="B25" s="78" t="str">
        <f>Menu!C22</f>
        <v>○○　○○</v>
      </c>
      <c r="C25" s="78">
        <f>_xlfn.IFERROR(VLOOKUP('男子データ'!C59,'男子申込'!$A$13:$J$24,7,FALSE)&amp;"　"&amp;VLOOKUP('男子データ'!C59,'男子申込'!$A$13:$J$24,8,FALSE)&amp;VLOOKUP('男子データ'!C59,'男子申込'!$A$13:$J$24,10,FALSE),"")</f>
      </c>
      <c r="D25" s="78">
        <f>_xlfn.IFERROR(VLOOKUP('男子データ'!D59,'男子申込'!$A$13:$J$24,7,FALSE)&amp;"　"&amp;VLOOKUP('男子データ'!D59,'男子申込'!$A$13:$J$24,8,FALSE)&amp;VLOOKUP('男子データ'!D59,'男子申込'!$A$13:$J$24,10,FALSE),"")</f>
      </c>
      <c r="E25" s="78">
        <f>_xlfn.IFERROR(VLOOKUP('男子データ'!E59,'男子申込'!$A$13:$J$24,7,FALSE)&amp;"　"&amp;VLOOKUP('男子データ'!E59,'男子申込'!$A$13:$J$24,8,FALSE)&amp;VLOOKUP('男子データ'!E59,'男子申込'!$A$13:$J$24,10,FALSE),"")</f>
      </c>
      <c r="F25" s="78">
        <f>_xlfn.IFERROR(VLOOKUP('男子データ'!F59,'男子申込'!$A$13:$J$24,7,FALSE)&amp;"　"&amp;VLOOKUP('男子データ'!F59,'男子申込'!$A$13:$J$24,8,FALSE)&amp;VLOOKUP('男子データ'!F59,'男子申込'!$A$13:$J$24,10,FALSE),"")</f>
      </c>
      <c r="G25" s="78">
        <f>_xlfn.IFERROR(VLOOKUP('男子データ'!G59,'男子申込'!$A$13:$J$24,7,FALSE)&amp;"　"&amp;VLOOKUP('男子データ'!G59,'男子申込'!$A$13:$J$24,8,FALSE)&amp;VLOOKUP('男子データ'!G59,'男子申込'!$A$13:$J$24,10,FALSE),"")</f>
      </c>
      <c r="H25" s="78">
        <f>_xlfn.IFERROR(VLOOKUP('男子データ'!H59,'男子申込'!$A$13:$J$24,7,FALSE)&amp;"　"&amp;VLOOKUP('男子データ'!H59,'男子申込'!$A$13:$J$24,8,FALSE)&amp;VLOOKUP('男子データ'!H59,'男子申込'!$A$13:$J$24,10,FALSE),"")</f>
      </c>
      <c r="I25" s="78">
        <f>_xlfn.IFERROR(VLOOKUP('男子データ'!I59,'男子申込'!$A$13:$J$24,7,FALSE)&amp;"　"&amp;VLOOKUP('男子データ'!I59,'男子申込'!$A$13:$J$24,8,FALSE)&amp;VLOOKUP('男子データ'!I59,'男子申込'!$A$13:$J$24,10,FALSE),"")</f>
      </c>
      <c r="J25" s="78">
        <f>_xlfn.IFERROR(VLOOKUP('男子データ'!J59,'男子申込'!$A$13:$J$24,7,FALSE)&amp;"　"&amp;VLOOKUP('男子データ'!J59,'男子申込'!$A$13:$J$24,8,FALSE)&amp;VLOOKUP('男子データ'!J59,'男子申込'!$A$13:$J$24,10,FALSE),"")</f>
      </c>
      <c r="K25" s="78">
        <f>_xlfn.IFERROR(VLOOKUP('男子データ'!K59,'男子申込'!$A$13:$J$24,7,FALSE)&amp;"　"&amp;VLOOKUP('男子データ'!K59,'男子申込'!$A$13:$J$24,8,FALSE)&amp;VLOOKUP('男子データ'!K59,'男子申込'!$A$13:$J$24,10,FALSE),"")</f>
      </c>
      <c r="L25" s="60"/>
      <c r="M25" s="60"/>
      <c r="N25" s="60"/>
      <c r="O25" s="60"/>
      <c r="P25" s="60"/>
      <c r="Q25" s="60"/>
      <c r="R25" s="60"/>
      <c r="S25" s="60"/>
    </row>
    <row r="26" spans="1:19" ht="11.25" customHeight="1">
      <c r="A26" s="60"/>
      <c r="B26" s="61"/>
      <c r="C26" s="60"/>
      <c r="D26" s="60"/>
      <c r="E26" s="60"/>
      <c r="F26" s="60"/>
      <c r="G26" s="60"/>
      <c r="H26" s="60"/>
      <c r="I26" s="60"/>
      <c r="J26" s="60"/>
      <c r="K26" s="60"/>
      <c r="L26" s="60"/>
      <c r="M26" s="60"/>
      <c r="N26" s="60"/>
      <c r="O26" s="60"/>
      <c r="P26" s="60"/>
      <c r="Q26" s="60"/>
      <c r="R26" s="60"/>
      <c r="S26" s="60"/>
    </row>
    <row r="27" spans="1:19" ht="25.5" customHeight="1">
      <c r="A27" s="60"/>
      <c r="B27" s="79" t="s">
        <v>81</v>
      </c>
      <c r="C27" s="60"/>
      <c r="D27" s="70"/>
      <c r="E27" s="60"/>
      <c r="F27" s="60"/>
      <c r="G27" s="60"/>
      <c r="H27" s="60"/>
      <c r="I27" s="60"/>
      <c r="J27" s="60"/>
      <c r="K27" s="60"/>
      <c r="L27" s="60"/>
      <c r="M27" s="60"/>
      <c r="N27" s="60"/>
      <c r="O27" s="60"/>
      <c r="P27" s="60"/>
      <c r="Q27" s="60"/>
      <c r="R27" s="60"/>
      <c r="S27" s="60"/>
    </row>
    <row r="28" spans="1:19" ht="17.25" customHeight="1">
      <c r="A28" s="60"/>
      <c r="B28" s="60" t="s">
        <v>82</v>
      </c>
      <c r="C28" s="80"/>
      <c r="D28" s="80"/>
      <c r="E28" s="80"/>
      <c r="F28" s="80"/>
      <c r="G28" s="80"/>
      <c r="H28" s="80"/>
      <c r="I28" s="80"/>
      <c r="J28" s="80"/>
      <c r="K28" s="60"/>
      <c r="L28" s="60"/>
      <c r="M28" s="60"/>
      <c r="N28" s="60"/>
      <c r="O28" s="60"/>
      <c r="P28" s="60"/>
      <c r="Q28" s="60"/>
      <c r="R28" s="60"/>
      <c r="S28" s="60"/>
    </row>
    <row r="29" spans="1:19" ht="16.5" customHeight="1">
      <c r="A29" s="60"/>
      <c r="B29" s="60" t="s">
        <v>83</v>
      </c>
      <c r="C29" s="80"/>
      <c r="D29" s="80"/>
      <c r="E29" s="80"/>
      <c r="F29" s="80"/>
      <c r="G29" s="80"/>
      <c r="H29" s="80"/>
      <c r="I29" s="80"/>
      <c r="J29" s="80"/>
      <c r="K29" s="60"/>
      <c r="L29" s="60"/>
      <c r="M29" s="60"/>
      <c r="N29" s="60"/>
      <c r="O29" s="60"/>
      <c r="P29" s="60"/>
      <c r="Q29" s="60"/>
      <c r="R29" s="60"/>
      <c r="S29" s="60"/>
    </row>
    <row r="30" spans="1:19" ht="16.5" customHeight="1">
      <c r="A30" s="60"/>
      <c r="B30" s="60" t="s">
        <v>84</v>
      </c>
      <c r="C30" s="80"/>
      <c r="D30" s="80"/>
      <c r="E30" s="80"/>
      <c r="F30" s="80"/>
      <c r="G30" s="80"/>
      <c r="H30" s="80"/>
      <c r="I30" s="80"/>
      <c r="J30" s="80"/>
      <c r="K30" s="60"/>
      <c r="L30" s="60"/>
      <c r="M30" s="60"/>
      <c r="N30" s="60"/>
      <c r="O30" s="60"/>
      <c r="P30" s="60"/>
      <c r="Q30" s="60"/>
      <c r="R30" s="60"/>
      <c r="S30" s="60"/>
    </row>
    <row r="31" spans="1:19" ht="18" customHeight="1">
      <c r="A31" s="60"/>
      <c r="B31" s="60" t="s">
        <v>85</v>
      </c>
      <c r="C31" s="80"/>
      <c r="D31" s="80"/>
      <c r="E31" s="80"/>
      <c r="F31" s="80"/>
      <c r="G31" s="80"/>
      <c r="H31" s="80"/>
      <c r="I31" s="80"/>
      <c r="J31" s="80"/>
      <c r="K31" s="60"/>
      <c r="L31" s="60"/>
      <c r="M31" s="60"/>
      <c r="N31" s="60"/>
      <c r="O31" s="60"/>
      <c r="P31" s="60"/>
      <c r="Q31" s="60"/>
      <c r="R31" s="60"/>
      <c r="S31" s="60"/>
    </row>
    <row r="32" spans="1:19" ht="18.75" customHeight="1">
      <c r="A32" s="60"/>
      <c r="B32" s="60" t="s">
        <v>86</v>
      </c>
      <c r="C32" s="80"/>
      <c r="D32" s="80"/>
      <c r="E32" s="80"/>
      <c r="F32" s="80"/>
      <c r="G32" s="80"/>
      <c r="H32" s="80"/>
      <c r="I32" s="80"/>
      <c r="J32" s="80"/>
      <c r="K32" s="60"/>
      <c r="L32" s="60"/>
      <c r="M32" s="60"/>
      <c r="N32" s="60"/>
      <c r="O32" s="60"/>
      <c r="P32" s="60"/>
      <c r="Q32" s="60"/>
      <c r="R32" s="60"/>
      <c r="S32" s="60"/>
    </row>
    <row r="33" spans="1:19" ht="8.25" customHeight="1">
      <c r="A33" s="60"/>
      <c r="B33" s="61"/>
      <c r="C33" s="60"/>
      <c r="D33" s="60"/>
      <c r="E33" s="60"/>
      <c r="F33" s="60"/>
      <c r="G33" s="60"/>
      <c r="H33" s="60"/>
      <c r="I33" s="60"/>
      <c r="J33" s="60"/>
      <c r="K33" s="60"/>
      <c r="L33" s="60"/>
      <c r="M33" s="60"/>
      <c r="N33" s="60"/>
      <c r="O33" s="60"/>
      <c r="P33" s="60"/>
      <c r="Q33" s="60"/>
      <c r="R33" s="60"/>
      <c r="S33" s="60"/>
    </row>
    <row r="34" spans="1:19" ht="18" customHeight="1">
      <c r="A34" s="60"/>
      <c r="B34" s="61" t="s">
        <v>87</v>
      </c>
      <c r="C34" s="60"/>
      <c r="D34" s="60"/>
      <c r="E34" s="60"/>
      <c r="F34" s="61" t="s">
        <v>88</v>
      </c>
      <c r="G34" s="60"/>
      <c r="H34" s="60"/>
      <c r="I34" s="60"/>
      <c r="J34" s="60"/>
      <c r="K34" s="60"/>
      <c r="L34" s="60"/>
      <c r="M34" s="60"/>
      <c r="N34" s="60"/>
      <c r="O34" s="60"/>
      <c r="P34" s="60"/>
      <c r="Q34" s="60"/>
      <c r="R34" s="60"/>
      <c r="S34" s="60"/>
    </row>
    <row r="35" spans="1:19" ht="8.25" customHeight="1">
      <c r="A35" s="60"/>
      <c r="B35" s="60"/>
      <c r="C35" s="60"/>
      <c r="D35" s="60"/>
      <c r="E35" s="60"/>
      <c r="F35" s="60"/>
      <c r="G35" s="60"/>
      <c r="H35" s="60"/>
      <c r="I35" s="60"/>
      <c r="J35" s="60"/>
      <c r="K35" s="60"/>
      <c r="L35" s="60"/>
      <c r="M35" s="60"/>
      <c r="N35" s="60"/>
      <c r="O35" s="60"/>
      <c r="P35" s="60"/>
      <c r="Q35" s="60"/>
      <c r="R35" s="60"/>
      <c r="S35" s="60"/>
    </row>
    <row r="36" spans="1:19" ht="24.75" customHeight="1">
      <c r="A36" s="60"/>
      <c r="B36" s="81"/>
      <c r="C36" s="81" t="s">
        <v>66</v>
      </c>
      <c r="D36" s="75" t="s">
        <v>89</v>
      </c>
      <c r="E36" s="60"/>
      <c r="F36" s="81"/>
      <c r="G36" s="81" t="s">
        <v>66</v>
      </c>
      <c r="H36" s="77" t="s">
        <v>89</v>
      </c>
      <c r="I36" s="60"/>
      <c r="J36" s="60"/>
      <c r="K36" s="60"/>
      <c r="L36" s="60"/>
      <c r="M36" s="60"/>
      <c r="N36" s="60"/>
      <c r="O36" s="60"/>
      <c r="P36" s="60"/>
      <c r="Q36" s="60"/>
      <c r="R36" s="60"/>
      <c r="S36" s="60"/>
    </row>
    <row r="37" spans="1:19" ht="24.75" customHeight="1">
      <c r="A37" s="60"/>
      <c r="B37" s="82">
        <v>1</v>
      </c>
      <c r="C37" s="83">
        <f>IF(COUNT('男子申込'!$M$13:$M$24)&gt;0,Menu!$C$8,"")</f>
      </c>
      <c r="D37" s="78">
        <f>_xlfn.IFERROR(VLOOKUP(B37,'男子申込'!$C$13:$H$24,5,FALSE)&amp;"　"&amp;VLOOKUP(B37,'男子申込'!$C$13:$H$24,6,FALSE),"")</f>
      </c>
      <c r="E37" s="60"/>
      <c r="F37" s="82">
        <v>1</v>
      </c>
      <c r="G37" s="83">
        <f>IF(COUNT('男子申込'!$L$13:$L$24)&gt;0,Menu!$C$8,"")</f>
      </c>
      <c r="H37" s="78">
        <f>_xlfn.IFERROR(VLOOKUP(L37,'男子申込'!$B$13:$H$24,6,FALSE)&amp;"・"&amp;VLOOKUP(M37,'男子申込'!$B$13:$H$24,6,FALSE),"")</f>
      </c>
      <c r="I37" s="84"/>
      <c r="L37" s="60">
        <v>1</v>
      </c>
      <c r="M37" s="60">
        <v>2</v>
      </c>
      <c r="N37" s="60"/>
      <c r="O37" s="60"/>
      <c r="P37" s="60"/>
      <c r="Q37" s="60"/>
      <c r="R37" s="60"/>
      <c r="S37" s="60"/>
    </row>
    <row r="38" spans="1:19" ht="24.75" customHeight="1">
      <c r="A38" s="60"/>
      <c r="B38" s="82">
        <v>2</v>
      </c>
      <c r="C38" s="83">
        <f>IF(COUNT('男子申込'!$M$13:$M$24)&gt;1,Menu!$C$8,"")</f>
      </c>
      <c r="D38" s="78">
        <f>_xlfn.IFERROR(VLOOKUP(B38,'男子申込'!$C$13:$H$24,5,FALSE)&amp;"　"&amp;VLOOKUP(B38,'男子申込'!$C$13:$H$24,6,FALSE),"")</f>
      </c>
      <c r="E38" s="60"/>
      <c r="F38" s="82">
        <v>2</v>
      </c>
      <c r="G38" s="83">
        <f>IF(COUNT('男子申込'!$L$13:$L$24)&gt;2,Menu!$C$8,"")</f>
      </c>
      <c r="H38" s="78">
        <f>_xlfn.IFERROR(VLOOKUP(L38,'男子申込'!$B$13:$H$24,6,FALSE)&amp;"・"&amp;VLOOKUP(M38,'男子申込'!$B$13:$H$24,6,FALSE),"")</f>
      </c>
      <c r="I38" s="84"/>
      <c r="L38" s="60">
        <v>3</v>
      </c>
      <c r="M38" s="60">
        <v>4</v>
      </c>
      <c r="N38" s="60"/>
      <c r="O38" s="60"/>
      <c r="P38" s="60"/>
      <c r="Q38" s="60"/>
      <c r="R38" s="60"/>
      <c r="S38" s="60"/>
    </row>
    <row r="39" spans="1:19" ht="24.75" customHeight="1">
      <c r="A39" s="60"/>
      <c r="B39" s="82">
        <v>3</v>
      </c>
      <c r="C39" s="83">
        <f>IF(COUNT('男子申込'!$M$13:$M$24)&gt;2,Menu!$C$8,"")</f>
      </c>
      <c r="D39" s="78">
        <f>_xlfn.IFERROR(VLOOKUP(B39,'男子申込'!$C$13:$H$24,5,FALSE)&amp;"　"&amp;VLOOKUP(B39,'男子申込'!$C$13:$H$24,6,FALSE),"")</f>
      </c>
      <c r="E39" s="60"/>
      <c r="F39" s="82">
        <v>3</v>
      </c>
      <c r="G39" s="83">
        <f>IF(COUNT('男子申込'!$L$13:$L$24)&gt;4,Menu!$C$8,"")</f>
      </c>
      <c r="H39" s="78">
        <f>_xlfn.IFERROR(VLOOKUP(L39,'男子申込'!$B$13:$H$24,6,FALSE)&amp;"・"&amp;VLOOKUP(M39,'男子申込'!$B$13:$H$24,6,FALSE),"")</f>
      </c>
      <c r="I39" s="84"/>
      <c r="L39" s="60">
        <v>5</v>
      </c>
      <c r="M39" s="60">
        <v>6</v>
      </c>
      <c r="N39" s="60"/>
      <c r="O39" s="60"/>
      <c r="P39" s="60"/>
      <c r="Q39" s="60"/>
      <c r="R39" s="60"/>
      <c r="S39" s="60"/>
    </row>
    <row r="40" spans="1:19" ht="24.75" customHeight="1">
      <c r="A40" s="60"/>
      <c r="B40" s="82">
        <v>4</v>
      </c>
      <c r="C40" s="83">
        <f>IF(COUNT('男子申込'!$M$13:$M$24)&gt;3,Menu!$C$8,"")</f>
      </c>
      <c r="D40" s="78">
        <f>_xlfn.IFERROR(VLOOKUP(B40,'男子申込'!$C$13:$H$24,5,FALSE)&amp;"　"&amp;VLOOKUP(B40,'男子申込'!$C$13:$H$24,6,FALSE),"")</f>
      </c>
      <c r="E40" s="60"/>
      <c r="F40" s="82">
        <v>4</v>
      </c>
      <c r="G40" s="83">
        <f>IF(COUNT('男子申込'!$L$13:$L$24)&gt;6,Menu!$C$8,"")</f>
      </c>
      <c r="H40" s="78">
        <f>_xlfn.IFERROR(VLOOKUP(L40,'男子申込'!$B$13:$H$24,6,FALSE)&amp;"・"&amp;VLOOKUP(M40,'男子申込'!$B$13:$H$24,6,FALSE),"")</f>
      </c>
      <c r="I40" s="84"/>
      <c r="L40" s="60">
        <v>7</v>
      </c>
      <c r="M40" s="60">
        <v>8</v>
      </c>
      <c r="N40" s="60"/>
      <c r="O40" s="60"/>
      <c r="P40" s="60"/>
      <c r="Q40" s="60"/>
      <c r="R40" s="60"/>
      <c r="S40" s="60"/>
    </row>
    <row r="41" spans="1:19" ht="24.75" customHeight="1">
      <c r="A41" s="60"/>
      <c r="B41" s="82">
        <v>5</v>
      </c>
      <c r="C41" s="83">
        <f>IF(COUNT('男子申込'!$M$13:$M$24)&gt;4,Menu!$C$8,"")</f>
      </c>
      <c r="D41" s="78">
        <f>_xlfn.IFERROR(VLOOKUP(B41,'男子申込'!$C$13:$H$24,5,FALSE)&amp;"　"&amp;VLOOKUP(B41,'男子申込'!$C$13:$H$24,6,FALSE),"")</f>
      </c>
      <c r="E41" s="60"/>
      <c r="F41" s="86">
        <v>5</v>
      </c>
      <c r="G41" s="83">
        <f>IF(COUNT('男子申込'!$L$13:$L$24)&gt;8,Menu!$C$8,"")</f>
      </c>
      <c r="H41" s="78">
        <f>_xlfn.IFERROR(VLOOKUP(L41,'男子申込'!$B$13:$H$24,6,FALSE)&amp;"・"&amp;VLOOKUP(M41,'男子申込'!$B$13:$H$24,6,FALSE),"")</f>
      </c>
      <c r="I41" s="84"/>
      <c r="L41" s="60">
        <v>9</v>
      </c>
      <c r="M41" s="60">
        <v>10</v>
      </c>
      <c r="N41" s="60"/>
      <c r="O41" s="60"/>
      <c r="P41" s="60"/>
      <c r="Q41" s="60"/>
      <c r="R41" s="60"/>
      <c r="S41" s="60"/>
    </row>
    <row r="42" spans="1:19" ht="24.75" customHeight="1">
      <c r="A42" s="60"/>
      <c r="B42" s="82">
        <v>6</v>
      </c>
      <c r="C42" s="83">
        <f>IF(COUNT('男子申込'!$M$13:$M$24)&gt;5,Menu!$C$8,"")</f>
      </c>
      <c r="D42" s="78">
        <f>_xlfn.IFERROR(VLOOKUP(B42,'男子申込'!$C$13:$H$24,5,FALSE)&amp;"　"&amp;VLOOKUP(B42,'男子申込'!$C$13:$H$24,6,FALSE),"")</f>
      </c>
      <c r="E42" s="60"/>
      <c r="F42" s="86">
        <v>6</v>
      </c>
      <c r="G42" s="83">
        <f>IF(COUNT('男子申込'!$L$13:$L$24)&gt;10,Menu!$C$8,"")</f>
      </c>
      <c r="H42" s="78">
        <f>_xlfn.IFERROR(VLOOKUP(L42,'男子申込'!$B$13:$H$24,6,FALSE)&amp;"・"&amp;VLOOKUP(M42,'男子申込'!$B$13:$H$24,6,FALSE),"")</f>
      </c>
      <c r="I42" s="84"/>
      <c r="L42" s="60">
        <v>11</v>
      </c>
      <c r="M42" s="60">
        <v>12</v>
      </c>
      <c r="N42" s="60"/>
      <c r="O42" s="60"/>
      <c r="P42" s="60"/>
      <c r="Q42" s="60"/>
      <c r="R42" s="60"/>
      <c r="S42" s="60"/>
    </row>
    <row r="43" spans="1:19" ht="24.75" customHeight="1">
      <c r="A43" s="60"/>
      <c r="B43" s="82">
        <v>7</v>
      </c>
      <c r="C43" s="83">
        <f>IF(COUNT('男子申込'!$M$13:$M$24)&gt;6,Menu!$C$8,"")</f>
      </c>
      <c r="D43" s="78">
        <f>_xlfn.IFERROR(VLOOKUP(B43,'男子申込'!$C$13:$H$24,5,FALSE)&amp;"　"&amp;VLOOKUP(B43,'男子申込'!$C$13:$H$24,6,FALSE),"")</f>
      </c>
      <c r="E43" s="60"/>
      <c r="F43" s="60"/>
      <c r="G43" s="85"/>
      <c r="H43" s="67"/>
      <c r="I43" s="67"/>
      <c r="J43" s="60"/>
      <c r="K43" s="60"/>
      <c r="L43" s="60"/>
      <c r="M43" s="60"/>
      <c r="N43" s="60"/>
      <c r="O43" s="60"/>
      <c r="P43" s="60"/>
      <c r="Q43" s="60"/>
      <c r="R43" s="60"/>
      <c r="S43" s="60"/>
    </row>
    <row r="44" spans="1:19" ht="24.75" customHeight="1">
      <c r="A44" s="60"/>
      <c r="B44" s="86">
        <v>8</v>
      </c>
      <c r="C44" s="83">
        <f>IF(COUNT('男子申込'!$M$13:$M$24)&gt;7,Menu!$C$8,"")</f>
      </c>
      <c r="D44" s="78">
        <f>_xlfn.IFERROR(VLOOKUP(B44,'男子申込'!$C$13:$H$24,5,FALSE)&amp;"　"&amp;VLOOKUP(B44,'男子申込'!$C$13:$H$24,6,FALSE),"")</f>
      </c>
      <c r="E44" s="60"/>
      <c r="F44" s="60"/>
      <c r="G44" s="85"/>
      <c r="H44" s="67"/>
      <c r="I44" s="67"/>
      <c r="J44" s="60"/>
      <c r="K44" s="60"/>
      <c r="L44" s="60"/>
      <c r="M44" s="60"/>
      <c r="N44" s="60"/>
      <c r="O44" s="60"/>
      <c r="P44" s="60"/>
      <c r="Q44" s="60"/>
      <c r="R44" s="60"/>
      <c r="S44" s="60"/>
    </row>
    <row r="45" spans="1:19" ht="24.75" customHeight="1">
      <c r="A45" s="60"/>
      <c r="B45" s="86">
        <v>9</v>
      </c>
      <c r="C45" s="83">
        <f>IF(COUNT('男子申込'!$M$13:$M$24)&gt;8,Menu!$C$8,"")</f>
      </c>
      <c r="D45" s="78">
        <f>_xlfn.IFERROR(VLOOKUP(B45,'男子申込'!$C$13:$H$24,5,FALSE)&amp;"　"&amp;VLOOKUP(B45,'男子申込'!$C$13:$H$24,6,FALSE),"")</f>
      </c>
      <c r="E45" s="60"/>
      <c r="F45" s="60"/>
      <c r="G45" s="60"/>
      <c r="H45" s="60"/>
      <c r="I45" s="60"/>
      <c r="J45" s="60"/>
      <c r="K45" s="60"/>
      <c r="L45" s="60"/>
      <c r="M45" s="60"/>
      <c r="N45" s="60"/>
      <c r="O45" s="60"/>
      <c r="P45" s="60"/>
      <c r="Q45" s="60"/>
      <c r="R45" s="60"/>
      <c r="S45" s="60"/>
    </row>
    <row r="46" spans="1:19" ht="24.75" customHeight="1">
      <c r="A46" s="60"/>
      <c r="B46" s="86">
        <v>10</v>
      </c>
      <c r="C46" s="83">
        <f>IF(COUNT('男子申込'!$M$13:$M$24)&gt;9,Menu!$C$8,"")</f>
      </c>
      <c r="D46" s="78">
        <f>_xlfn.IFERROR(VLOOKUP(B46,'男子申込'!$C$13:$H$24,5,FALSE)&amp;"　"&amp;VLOOKUP(B46,'男子申込'!$C$13:$H$24,6,FALSE),"")</f>
      </c>
      <c r="E46" s="60"/>
      <c r="F46" s="60"/>
      <c r="G46" s="60"/>
      <c r="H46" s="60"/>
      <c r="I46" s="60"/>
      <c r="J46" s="60"/>
      <c r="K46" s="60"/>
      <c r="L46" s="60"/>
      <c r="M46" s="60"/>
      <c r="N46" s="60"/>
      <c r="O46" s="60"/>
      <c r="P46" s="60"/>
      <c r="Q46" s="60"/>
      <c r="R46" s="60"/>
      <c r="S46" s="60"/>
    </row>
    <row r="47" spans="1:19" ht="24.75" customHeight="1">
      <c r="A47" s="60"/>
      <c r="B47" s="86">
        <v>11</v>
      </c>
      <c r="C47" s="83">
        <f>IF(COUNT('男子申込'!$M$13:$M$24)&gt;10,Menu!$C$8,"")</f>
      </c>
      <c r="D47" s="78">
        <f>_xlfn.IFERROR(VLOOKUP(B47,'男子申込'!$C$13:$H$24,5,FALSE)&amp;"　"&amp;VLOOKUP(B47,'男子申込'!$C$13:$H$24,6,FALSE),"")</f>
      </c>
      <c r="E47" s="60"/>
      <c r="F47" s="60"/>
      <c r="G47" s="60"/>
      <c r="H47" s="60"/>
      <c r="I47" s="60"/>
      <c r="J47" s="60"/>
      <c r="K47" s="60"/>
      <c r="L47" s="60"/>
      <c r="M47" s="60"/>
      <c r="N47" s="60"/>
      <c r="O47" s="60"/>
      <c r="P47" s="60"/>
      <c r="Q47" s="60"/>
      <c r="R47" s="60"/>
      <c r="S47" s="60"/>
    </row>
    <row r="48" spans="1:19" ht="24.75" customHeight="1">
      <c r="A48" s="60"/>
      <c r="B48" s="86">
        <v>12</v>
      </c>
      <c r="C48" s="83">
        <f>IF(COUNT('男子申込'!$M$13:$M$24)&gt;11,Menu!$C$8,"")</f>
      </c>
      <c r="D48" s="78">
        <f>_xlfn.IFERROR(VLOOKUP(B48,'男子申込'!$C$13:$H$24,5,FALSE)&amp;"　"&amp;VLOOKUP(B48,'男子申込'!$C$13:$H$24,6,FALSE),"")</f>
      </c>
      <c r="E48" s="60"/>
      <c r="F48" s="60"/>
      <c r="G48" s="60"/>
      <c r="H48" s="60"/>
      <c r="I48" s="60"/>
      <c r="J48" s="60"/>
      <c r="K48" s="60"/>
      <c r="L48" s="60"/>
      <c r="M48" s="60"/>
      <c r="N48" s="60"/>
      <c r="O48" s="60"/>
      <c r="P48" s="60"/>
      <c r="Q48" s="60"/>
      <c r="R48" s="60"/>
      <c r="S48" s="60"/>
    </row>
    <row r="49" spans="1:19" ht="24.75" customHeight="1">
      <c r="A49" s="60"/>
      <c r="B49" s="60"/>
      <c r="C49" s="60"/>
      <c r="D49" s="60"/>
      <c r="E49" s="60"/>
      <c r="F49" s="60"/>
      <c r="G49" s="60"/>
      <c r="H49" s="60"/>
      <c r="I49" s="60"/>
      <c r="J49" s="60"/>
      <c r="K49" s="60"/>
      <c r="L49" s="60"/>
      <c r="M49" s="60"/>
      <c r="N49" s="60"/>
      <c r="O49" s="60"/>
      <c r="P49" s="60"/>
      <c r="Q49" s="60"/>
      <c r="R49" s="60"/>
      <c r="S49" s="60"/>
    </row>
    <row r="50" ht="24.75" customHeight="1"/>
    <row r="51" ht="24.75" customHeight="1"/>
    <row r="52" ht="24.75" customHeight="1"/>
    <row r="53" ht="24.75" customHeight="1"/>
    <row r="54" ht="24.75" customHeight="1"/>
    <row r="59" spans="3:11" ht="12">
      <c r="C59" s="62">
        <v>1</v>
      </c>
      <c r="D59" s="62">
        <v>2</v>
      </c>
      <c r="E59" s="62">
        <v>3</v>
      </c>
      <c r="F59" s="62">
        <v>4</v>
      </c>
      <c r="G59" s="62">
        <v>5</v>
      </c>
      <c r="H59" s="62">
        <v>6</v>
      </c>
      <c r="I59" s="62">
        <v>7</v>
      </c>
      <c r="J59" s="62">
        <v>8</v>
      </c>
      <c r="K59" s="62">
        <v>9</v>
      </c>
    </row>
  </sheetData>
  <sheetProtection/>
  <mergeCells count="4">
    <mergeCell ref="B3:K10"/>
    <mergeCell ref="B16:B17"/>
    <mergeCell ref="C16:C17"/>
    <mergeCell ref="D16:E17"/>
  </mergeCells>
  <hyperlinks>
    <hyperlink ref="D12" r:id="rId1" display="mk-tennis@miyazaki-c.ed.jp"/>
  </hyperlinks>
  <printOptions/>
  <pageMargins left="0.7" right="0.7" top="0.75" bottom="0.75" header="0.3" footer="0.3"/>
  <pageSetup horizontalDpi="600" verticalDpi="600" orientation="portrait" paperSize="9" scale="73" r:id="rId3"/>
  <drawing r:id="rId2"/>
</worksheet>
</file>

<file path=xl/worksheets/sheet4.xml><?xml version="1.0" encoding="utf-8"?>
<worksheet xmlns="http://schemas.openxmlformats.org/spreadsheetml/2006/main" xmlns:r="http://schemas.openxmlformats.org/officeDocument/2006/relationships">
  <dimension ref="A1:AG95"/>
  <sheetViews>
    <sheetView showGridLines="0" showRowColHeaders="0" view="pageBreakPreview" zoomScale="60" zoomScaleNormal="85" zoomScalePageLayoutView="0" workbookViewId="0" topLeftCell="E1">
      <selection activeCell="AC5" sqref="AC5"/>
    </sheetView>
  </sheetViews>
  <sheetFormatPr defaultColWidth="9.00390625" defaultRowHeight="13.5"/>
  <cols>
    <col min="1" max="4" width="9.00390625" style="19" hidden="1" customWidth="1"/>
    <col min="5" max="5" width="2.625" style="19" customWidth="1"/>
    <col min="6" max="6" width="4.00390625" style="19" bestFit="1" customWidth="1"/>
    <col min="7" max="8" width="8.75390625" style="19" customWidth="1"/>
    <col min="9" max="9" width="17.625" style="19" customWidth="1"/>
    <col min="10" max="13" width="9.125" style="25" customWidth="1"/>
    <col min="14" max="14" width="11.625" style="19" customWidth="1"/>
    <col min="15" max="15" width="9.375" style="19" customWidth="1"/>
    <col min="16" max="17" width="9.375" style="19" hidden="1" customWidth="1"/>
    <col min="18" max="27" width="9.00390625" style="19" hidden="1" customWidth="1"/>
    <col min="28" max="28" width="9.00390625" style="19" customWidth="1"/>
    <col min="29" max="29" width="14.625" style="19" customWidth="1"/>
    <col min="30" max="30" width="24.375" style="19" customWidth="1"/>
    <col min="31" max="31" width="31.625" style="19" bestFit="1" customWidth="1"/>
    <col min="32" max="16384" width="9.00390625" style="19" customWidth="1"/>
  </cols>
  <sheetData>
    <row r="1" spans="5:17" ht="20.25">
      <c r="E1" s="163" t="s">
        <v>53</v>
      </c>
      <c r="F1" s="163"/>
      <c r="G1" s="163"/>
      <c r="H1" s="163"/>
      <c r="I1" s="163"/>
      <c r="J1" s="163"/>
      <c r="K1" s="163"/>
      <c r="L1" s="163"/>
      <c r="M1" s="163"/>
      <c r="N1" s="163"/>
      <c r="O1" s="23"/>
      <c r="P1" s="23"/>
      <c r="Q1" s="23"/>
    </row>
    <row r="2" spans="5:17" ht="6" customHeight="1" thickBot="1">
      <c r="E2" s="23"/>
      <c r="F2" s="23"/>
      <c r="G2" s="23"/>
      <c r="H2" s="23"/>
      <c r="I2" s="23"/>
      <c r="J2" s="23"/>
      <c r="K2" s="23"/>
      <c r="L2" s="23"/>
      <c r="M2" s="23"/>
      <c r="N2" s="23"/>
      <c r="O2" s="23"/>
      <c r="P2" s="23"/>
      <c r="Q2" s="23"/>
    </row>
    <row r="3" spans="6:8" ht="30" customHeight="1" thickBot="1">
      <c r="F3" s="124" t="s">
        <v>15</v>
      </c>
      <c r="G3" s="126"/>
      <c r="H3" s="24"/>
    </row>
    <row r="4" spans="6:8" ht="18.75" customHeight="1">
      <c r="F4" s="25"/>
      <c r="G4" s="25"/>
      <c r="H4" s="25"/>
    </row>
    <row r="5" ht="14.25"/>
    <row r="6" ht="14.25"/>
    <row r="7" ht="14.25">
      <c r="V7" s="19" t="s">
        <v>12</v>
      </c>
    </row>
    <row r="8" ht="14.25"/>
    <row r="9" spans="10:22" ht="15" thickBot="1">
      <c r="J9" s="19"/>
      <c r="N9" s="25"/>
      <c r="V9" s="19" t="s">
        <v>15</v>
      </c>
    </row>
    <row r="10" spans="6:26" ht="12.75" customHeight="1">
      <c r="F10" s="132" t="s">
        <v>37</v>
      </c>
      <c r="G10" s="136" t="s">
        <v>0</v>
      </c>
      <c r="H10" s="137"/>
      <c r="I10" s="141" t="s">
        <v>34</v>
      </c>
      <c r="J10" s="143" t="s">
        <v>1</v>
      </c>
      <c r="K10" s="42" t="s">
        <v>42</v>
      </c>
      <c r="L10" s="42" t="s">
        <v>8</v>
      </c>
      <c r="M10" s="42" t="s">
        <v>44</v>
      </c>
      <c r="N10" s="130" t="s">
        <v>2</v>
      </c>
      <c r="X10" s="37" t="str">
        <f>IF(COUNTIF(K13:K24,"○")=VLOOKUP(E1,$G$41:$L$43,6,FALSE),"","○")</f>
        <v>○</v>
      </c>
      <c r="Y10" s="19">
        <f>IF(COUNTIF($M$13:$M$24,1)&gt;=1,"",1)</f>
        <v>1</v>
      </c>
      <c r="Z10" s="19">
        <f>IF(COUNTIF($L$13:$L$24,1)&gt;=2,"",1)</f>
        <v>1</v>
      </c>
    </row>
    <row r="11" spans="6:26" ht="12.75" customHeight="1" thickBot="1">
      <c r="F11" s="133"/>
      <c r="G11" s="138"/>
      <c r="H11" s="139"/>
      <c r="I11" s="142"/>
      <c r="J11" s="144"/>
      <c r="K11" s="48" t="e">
        <f>VLOOKUP(E1,$H$41:$L$43,3,FALSE)</f>
        <v>#N/A</v>
      </c>
      <c r="L11" s="48" t="e">
        <f>VLOOKUP(E1,$H$41:$L$43,4,FALSE)</f>
        <v>#N/A</v>
      </c>
      <c r="M11" s="48" t="e">
        <f>VLOOKUP(E1,$H$41:$L$43,5,FALSE)</f>
        <v>#N/A</v>
      </c>
      <c r="N11" s="131"/>
      <c r="Y11" s="19">
        <f>IF(COUNTIF($M$13:$M$24,2)&gt;=1,"",2)</f>
        <v>2</v>
      </c>
      <c r="Z11" s="19">
        <f>IF(COUNTIF($L$13:$L$24,2)&gt;=2,"",2)</f>
        <v>2</v>
      </c>
    </row>
    <row r="12" spans="6:30" ht="30.75" customHeight="1" thickBot="1" thickTop="1">
      <c r="F12" s="26" t="s">
        <v>29</v>
      </c>
      <c r="G12" s="134" t="str">
        <f>Menu!C24</f>
        <v>○○　○○</v>
      </c>
      <c r="H12" s="135"/>
      <c r="I12" s="27" t="s">
        <v>33</v>
      </c>
      <c r="J12" s="28"/>
      <c r="K12" s="28"/>
      <c r="L12" s="28"/>
      <c r="M12" s="28"/>
      <c r="N12" s="29"/>
      <c r="Y12" s="19">
        <f>IF(COUNTIF($M$13:$M$24,3)&gt;=1,"",3)</f>
        <v>3</v>
      </c>
      <c r="Z12" s="19">
        <f>IF(COUNTIF($L$13:$L$24,3)&gt;=2,"",3)</f>
        <v>3</v>
      </c>
      <c r="AC12" s="145" t="str">
        <f>MID(E1,3,30)</f>
        <v>総体テニス競技参加申込書</v>
      </c>
      <c r="AD12" s="145"/>
    </row>
    <row r="13" spans="1:31" ht="26.25" customHeight="1" thickTop="1">
      <c r="A13" s="19">
        <f aca="true" t="shared" si="0" ref="A13:A24">IF(U13="","",RANK(U13,$U$13:$U$24,1))</f>
      </c>
      <c r="B13" s="19">
        <f aca="true" t="shared" si="1" ref="B13:B24">IF(V13="","",RANK(V13,$V$13:$V$24,1))</f>
      </c>
      <c r="C13" s="19">
        <f>IF(M13="","",M13)</f>
      </c>
      <c r="F13" s="30">
        <v>1</v>
      </c>
      <c r="G13" s="89"/>
      <c r="H13" s="90"/>
      <c r="I13" s="91"/>
      <c r="J13" s="92"/>
      <c r="K13" s="92"/>
      <c r="L13" s="92"/>
      <c r="M13" s="92"/>
      <c r="N13" s="93"/>
      <c r="P13" s="19">
        <f>G13</f>
        <v>0</v>
      </c>
      <c r="Q13" s="19">
        <f>H13</f>
        <v>0</v>
      </c>
      <c r="R13" s="19">
        <f>J13</f>
        <v>0</v>
      </c>
      <c r="S13" s="37" t="s">
        <v>96</v>
      </c>
      <c r="T13" s="19">
        <f>IF(COUNT(L13:M13)+COUNTA(K13)&gt;0,1,0)</f>
        <v>0</v>
      </c>
      <c r="U13" s="19">
        <f>IF(K13="○",F13,"")</f>
      </c>
      <c r="V13" s="19">
        <f>IF(L13="","",L13+F13/10)</f>
      </c>
      <c r="Y13" s="19">
        <f>IF(COUNTIF($M$13:$M$24,4)&gt;=1,"",4)</f>
        <v>4</v>
      </c>
      <c r="Z13" s="19">
        <f>IF(COUNTIF($L$13:$L$24,4)&gt;=2,"",4)</f>
        <v>4</v>
      </c>
      <c r="AA13" s="19" t="s">
        <v>13</v>
      </c>
      <c r="AC13" s="31" t="s">
        <v>7</v>
      </c>
      <c r="AD13" s="129" t="str">
        <f>IF(COUNTA(K13:K24)&gt;0,"参加します( "&amp;COUNTA(K13:K24)&amp;" 名)","参加しません")</f>
        <v>参加しません</v>
      </c>
      <c r="AE13" s="129"/>
    </row>
    <row r="14" spans="1:31" ht="26.25" customHeight="1">
      <c r="A14" s="19">
        <f t="shared" si="0"/>
      </c>
      <c r="B14" s="19">
        <f t="shared" si="1"/>
      </c>
      <c r="C14" s="19">
        <f aca="true" t="shared" si="2" ref="C14:C24">IF(M14="","",M14)</f>
      </c>
      <c r="F14" s="32">
        <v>2</v>
      </c>
      <c r="G14" s="94"/>
      <c r="H14" s="90"/>
      <c r="I14" s="91"/>
      <c r="J14" s="95"/>
      <c r="K14" s="95"/>
      <c r="L14" s="95"/>
      <c r="M14" s="95"/>
      <c r="N14" s="96"/>
      <c r="P14" s="19">
        <f aca="true" t="shared" si="3" ref="P14:Q24">G14</f>
        <v>0</v>
      </c>
      <c r="Q14" s="19">
        <f t="shared" si="3"/>
        <v>0</v>
      </c>
      <c r="R14" s="19">
        <f aca="true" t="shared" si="4" ref="R14:R24">J14</f>
        <v>0</v>
      </c>
      <c r="S14" s="37" t="s">
        <v>95</v>
      </c>
      <c r="T14" s="19">
        <f aca="true" t="shared" si="5" ref="T14:T24">IF(COUNT(L14:M14)+COUNTA(K14)&gt;0,1,0)</f>
        <v>0</v>
      </c>
      <c r="U14" s="19">
        <f aca="true" t="shared" si="6" ref="U14:U24">IF(K14="○",F14,"")</f>
      </c>
      <c r="V14" s="19">
        <f aca="true" t="shared" si="7" ref="V14:V24">IF(L14="","",L14+F14/10)</f>
      </c>
      <c r="Y14" s="19">
        <f>IF(COUNTIF($M$13:$M$24,5)&gt;=1,"",5)</f>
        <v>5</v>
      </c>
      <c r="Z14" s="19">
        <f>IF(COUNTIF($L$13:$L$24,5)&gt;=2,"",5)</f>
        <v>5</v>
      </c>
      <c r="AA14" s="19" t="s">
        <v>14</v>
      </c>
      <c r="AC14" s="31" t="s">
        <v>8</v>
      </c>
      <c r="AD14" s="16" t="str">
        <f>IF(V28=V29,V29&amp;" 組","申し込みに不備が有ります")</f>
        <v>0 組</v>
      </c>
      <c r="AE14" s="16"/>
    </row>
    <row r="15" spans="1:31" ht="26.25" customHeight="1">
      <c r="A15" s="19">
        <f t="shared" si="0"/>
      </c>
      <c r="B15" s="19">
        <f t="shared" si="1"/>
      </c>
      <c r="C15" s="19">
        <f t="shared" si="2"/>
      </c>
      <c r="F15" s="32">
        <v>3</v>
      </c>
      <c r="G15" s="94"/>
      <c r="H15" s="90"/>
      <c r="I15" s="91"/>
      <c r="J15" s="95"/>
      <c r="K15" s="95"/>
      <c r="L15" s="95"/>
      <c r="M15" s="95"/>
      <c r="N15" s="96"/>
      <c r="P15" s="19">
        <f t="shared" si="3"/>
        <v>0</v>
      </c>
      <c r="Q15" s="19">
        <f t="shared" si="3"/>
        <v>0</v>
      </c>
      <c r="R15" s="19">
        <f t="shared" si="4"/>
        <v>0</v>
      </c>
      <c r="S15" s="37" t="s">
        <v>94</v>
      </c>
      <c r="T15" s="19">
        <f t="shared" si="5"/>
        <v>0</v>
      </c>
      <c r="U15" s="19">
        <f t="shared" si="6"/>
      </c>
      <c r="V15" s="19">
        <f t="shared" si="7"/>
      </c>
      <c r="Y15" s="19">
        <f>IF(COUNTIF($M$13:$M$24,6)&gt;=1,"",6)</f>
        <v>6</v>
      </c>
      <c r="Z15" s="19">
        <f>IF(COUNTIF($L$13:$L$24,6)&gt;=2,"",6)</f>
        <v>6</v>
      </c>
      <c r="AC15" s="31" t="s">
        <v>9</v>
      </c>
      <c r="AD15" s="16" t="str">
        <f>IF(COUNT(M13:M24)=MAX(M13:M24),MAX(M13:M24)&amp;" 人","申し込みに不備が有ります")</f>
        <v>0 人</v>
      </c>
      <c r="AE15" s="16"/>
    </row>
    <row r="16" spans="1:25" ht="26.25" customHeight="1">
      <c r="A16" s="19">
        <f t="shared" si="0"/>
      </c>
      <c r="B16" s="19">
        <f t="shared" si="1"/>
      </c>
      <c r="C16" s="19">
        <f t="shared" si="2"/>
      </c>
      <c r="F16" s="32">
        <v>4</v>
      </c>
      <c r="G16" s="94"/>
      <c r="H16" s="90"/>
      <c r="I16" s="91"/>
      <c r="J16" s="95"/>
      <c r="K16" s="95"/>
      <c r="L16" s="95"/>
      <c r="M16" s="95"/>
      <c r="N16" s="96"/>
      <c r="P16" s="19">
        <f t="shared" si="3"/>
        <v>0</v>
      </c>
      <c r="Q16" s="19">
        <f t="shared" si="3"/>
        <v>0</v>
      </c>
      <c r="R16" s="19">
        <f t="shared" si="4"/>
        <v>0</v>
      </c>
      <c r="T16" s="19">
        <f t="shared" si="5"/>
        <v>0</v>
      </c>
      <c r="U16" s="19">
        <f t="shared" si="6"/>
      </c>
      <c r="V16" s="19">
        <f t="shared" si="7"/>
      </c>
      <c r="X16" s="37"/>
      <c r="Y16" s="19">
        <f>IF(COUNTIF($M$13:$M$24,7)&gt;=1,"",7)</f>
        <v>7</v>
      </c>
    </row>
    <row r="17" spans="1:25" ht="26.25" customHeight="1">
      <c r="A17" s="19">
        <f t="shared" si="0"/>
      </c>
      <c r="B17" s="19">
        <f t="shared" si="1"/>
      </c>
      <c r="C17" s="19">
        <f t="shared" si="2"/>
      </c>
      <c r="F17" s="32">
        <v>5</v>
      </c>
      <c r="G17" s="94"/>
      <c r="H17" s="90"/>
      <c r="I17" s="91"/>
      <c r="J17" s="95"/>
      <c r="K17" s="95"/>
      <c r="L17" s="95"/>
      <c r="M17" s="95"/>
      <c r="N17" s="96"/>
      <c r="P17" s="19">
        <f t="shared" si="3"/>
        <v>0</v>
      </c>
      <c r="Q17" s="19">
        <f t="shared" si="3"/>
        <v>0</v>
      </c>
      <c r="R17" s="19">
        <f t="shared" si="4"/>
        <v>0</v>
      </c>
      <c r="T17" s="19">
        <f t="shared" si="5"/>
        <v>0</v>
      </c>
      <c r="U17" s="19">
        <f t="shared" si="6"/>
      </c>
      <c r="V17" s="19">
        <f t="shared" si="7"/>
      </c>
      <c r="X17" s="19">
        <f>IF(E1=H43,IF(COUNTIF($K$13:$K$24,7)&gt;=1,"",7),"")</f>
      </c>
      <c r="Y17" s="19">
        <f>IF(COUNTIF($M$13:$M$24,8)&gt;=1,"",8)</f>
        <v>8</v>
      </c>
    </row>
    <row r="18" spans="1:25" ht="26.25" customHeight="1">
      <c r="A18" s="19">
        <f t="shared" si="0"/>
      </c>
      <c r="B18" s="19">
        <f t="shared" si="1"/>
      </c>
      <c r="C18" s="19">
        <f t="shared" si="2"/>
      </c>
      <c r="F18" s="32">
        <v>6</v>
      </c>
      <c r="G18" s="94"/>
      <c r="H18" s="90"/>
      <c r="I18" s="91"/>
      <c r="J18" s="95"/>
      <c r="K18" s="95"/>
      <c r="L18" s="95"/>
      <c r="M18" s="95"/>
      <c r="N18" s="96"/>
      <c r="P18" s="19">
        <f t="shared" si="3"/>
        <v>0</v>
      </c>
      <c r="Q18" s="19">
        <f t="shared" si="3"/>
        <v>0</v>
      </c>
      <c r="R18" s="19">
        <f t="shared" si="4"/>
        <v>0</v>
      </c>
      <c r="T18" s="19">
        <f t="shared" si="5"/>
        <v>0</v>
      </c>
      <c r="U18" s="19">
        <f t="shared" si="6"/>
      </c>
      <c r="V18" s="19">
        <f t="shared" si="7"/>
      </c>
      <c r="X18" s="19">
        <f>IF(E1=H43,IF(COUNTIF($K$13:$K$24,8)&gt;=1,"",8),"")</f>
      </c>
      <c r="Y18" s="19">
        <f>IF(COUNTIF($M$13:$M$24,9)&gt;=1,"",9)</f>
        <v>9</v>
      </c>
    </row>
    <row r="19" spans="1:25" ht="26.25" customHeight="1">
      <c r="A19" s="19">
        <f t="shared" si="0"/>
      </c>
      <c r="B19" s="19">
        <f t="shared" si="1"/>
      </c>
      <c r="C19" s="19">
        <f t="shared" si="2"/>
      </c>
      <c r="F19" s="32">
        <v>7</v>
      </c>
      <c r="G19" s="94"/>
      <c r="H19" s="90"/>
      <c r="I19" s="91"/>
      <c r="J19" s="95"/>
      <c r="K19" s="95"/>
      <c r="L19" s="95"/>
      <c r="M19" s="95"/>
      <c r="N19" s="96"/>
      <c r="P19" s="19">
        <f t="shared" si="3"/>
        <v>0</v>
      </c>
      <c r="Q19" s="19">
        <f t="shared" si="3"/>
        <v>0</v>
      </c>
      <c r="R19" s="19">
        <f t="shared" si="4"/>
        <v>0</v>
      </c>
      <c r="T19" s="19">
        <f t="shared" si="5"/>
        <v>0</v>
      </c>
      <c r="U19" s="19">
        <f>IF(K19="○",F19,"")</f>
      </c>
      <c r="V19" s="19">
        <f t="shared" si="7"/>
      </c>
      <c r="X19" s="19">
        <f>IF(E1=H43,IF(COUNTIF($K$13:$K$24,9)&gt;=1,"",9),"")</f>
      </c>
      <c r="Y19" s="19">
        <f>IF(COUNTIF($M$13:$M$24,10)&gt;=1,"",10)</f>
        <v>10</v>
      </c>
    </row>
    <row r="20" spans="1:25" ht="26.25" customHeight="1">
      <c r="A20" s="19">
        <f t="shared" si="0"/>
      </c>
      <c r="B20" s="19">
        <f t="shared" si="1"/>
      </c>
      <c r="C20" s="19">
        <f t="shared" si="2"/>
      </c>
      <c r="F20" s="32">
        <v>8</v>
      </c>
      <c r="G20" s="94"/>
      <c r="H20" s="90"/>
      <c r="I20" s="91"/>
      <c r="J20" s="95"/>
      <c r="K20" s="95"/>
      <c r="L20" s="95"/>
      <c r="M20" s="95"/>
      <c r="N20" s="96"/>
      <c r="P20" s="19">
        <f t="shared" si="3"/>
        <v>0</v>
      </c>
      <c r="Q20" s="19">
        <f t="shared" si="3"/>
        <v>0</v>
      </c>
      <c r="R20" s="19">
        <f t="shared" si="4"/>
        <v>0</v>
      </c>
      <c r="T20" s="19">
        <f t="shared" si="5"/>
        <v>0</v>
      </c>
      <c r="U20" s="19">
        <f t="shared" si="6"/>
      </c>
      <c r="V20" s="19">
        <f t="shared" si="7"/>
      </c>
      <c r="Y20" s="19">
        <f>IF(COUNTIF($M$13:$M$24,11)&gt;=1,"",11)</f>
        <v>11</v>
      </c>
    </row>
    <row r="21" spans="1:25" ht="26.25" customHeight="1">
      <c r="A21" s="19">
        <f t="shared" si="0"/>
      </c>
      <c r="B21" s="19">
        <f t="shared" si="1"/>
      </c>
      <c r="C21" s="19">
        <f t="shared" si="2"/>
      </c>
      <c r="F21" s="32">
        <v>9</v>
      </c>
      <c r="G21" s="94"/>
      <c r="H21" s="90"/>
      <c r="I21" s="91"/>
      <c r="J21" s="95"/>
      <c r="K21" s="95"/>
      <c r="L21" s="95"/>
      <c r="M21" s="95"/>
      <c r="N21" s="96"/>
      <c r="P21" s="19">
        <f t="shared" si="3"/>
        <v>0</v>
      </c>
      <c r="Q21" s="19">
        <f t="shared" si="3"/>
        <v>0</v>
      </c>
      <c r="R21" s="19">
        <f t="shared" si="4"/>
        <v>0</v>
      </c>
      <c r="T21" s="19">
        <f t="shared" si="5"/>
        <v>0</v>
      </c>
      <c r="U21" s="19">
        <f>IF(K21="○",F21,"")</f>
      </c>
      <c r="V21" s="19">
        <f t="shared" si="7"/>
      </c>
      <c r="Y21" s="19">
        <f>IF(COUNTIF($M$13:$M$24,12)&gt;=1,"",12)</f>
        <v>12</v>
      </c>
    </row>
    <row r="22" spans="1:22" ht="26.25" customHeight="1">
      <c r="A22" s="19">
        <f t="shared" si="0"/>
      </c>
      <c r="B22" s="19">
        <f t="shared" si="1"/>
      </c>
      <c r="C22" s="19">
        <f t="shared" si="2"/>
      </c>
      <c r="F22" s="32">
        <v>10</v>
      </c>
      <c r="G22" s="94"/>
      <c r="H22" s="90"/>
      <c r="I22" s="91"/>
      <c r="J22" s="95"/>
      <c r="K22" s="95"/>
      <c r="L22" s="95"/>
      <c r="M22" s="95"/>
      <c r="N22" s="96"/>
      <c r="P22" s="19">
        <f t="shared" si="3"/>
        <v>0</v>
      </c>
      <c r="Q22" s="19">
        <f t="shared" si="3"/>
        <v>0</v>
      </c>
      <c r="R22" s="19">
        <f t="shared" si="4"/>
        <v>0</v>
      </c>
      <c r="T22" s="19">
        <f t="shared" si="5"/>
        <v>0</v>
      </c>
      <c r="U22" s="19">
        <f t="shared" si="6"/>
      </c>
      <c r="V22" s="19">
        <f t="shared" si="7"/>
      </c>
    </row>
    <row r="23" spans="1:22" ht="26.25" customHeight="1">
      <c r="A23" s="19">
        <f t="shared" si="0"/>
      </c>
      <c r="B23" s="19">
        <f t="shared" si="1"/>
      </c>
      <c r="C23" s="19">
        <f t="shared" si="2"/>
      </c>
      <c r="F23" s="32">
        <v>11</v>
      </c>
      <c r="G23" s="94"/>
      <c r="H23" s="90"/>
      <c r="I23" s="91"/>
      <c r="J23" s="95"/>
      <c r="K23" s="97"/>
      <c r="L23" s="95"/>
      <c r="M23" s="95"/>
      <c r="N23" s="96"/>
      <c r="P23" s="19">
        <f t="shared" si="3"/>
        <v>0</v>
      </c>
      <c r="Q23" s="19">
        <f t="shared" si="3"/>
        <v>0</v>
      </c>
      <c r="R23" s="19">
        <f t="shared" si="4"/>
        <v>0</v>
      </c>
      <c r="T23" s="19">
        <f>IF(COUNT(L23:M23)+COUNTA(#REF!)&gt;0,1,0)</f>
        <v>1</v>
      </c>
      <c r="U23" s="19">
        <f>IF(K23="○",F23,"")</f>
      </c>
      <c r="V23" s="19">
        <f>IF(L23="","",L23+F23/10)</f>
      </c>
    </row>
    <row r="24" spans="1:22" ht="26.25" customHeight="1" thickBot="1">
      <c r="A24" s="19">
        <f t="shared" si="0"/>
      </c>
      <c r="B24" s="19">
        <f t="shared" si="1"/>
      </c>
      <c r="C24" s="19">
        <f t="shared" si="2"/>
      </c>
      <c r="F24" s="59">
        <v>12</v>
      </c>
      <c r="G24" s="98"/>
      <c r="H24" s="99"/>
      <c r="I24" s="100"/>
      <c r="J24" s="101"/>
      <c r="K24" s="101"/>
      <c r="L24" s="101"/>
      <c r="M24" s="101"/>
      <c r="N24" s="102"/>
      <c r="P24" s="19">
        <f t="shared" si="3"/>
        <v>0</v>
      </c>
      <c r="Q24" s="19">
        <f t="shared" si="3"/>
        <v>0</v>
      </c>
      <c r="R24" s="19">
        <f t="shared" si="4"/>
        <v>0</v>
      </c>
      <c r="T24" s="19">
        <f t="shared" si="5"/>
        <v>0</v>
      </c>
      <c r="U24" s="19">
        <f t="shared" si="6"/>
      </c>
      <c r="V24" s="19">
        <f t="shared" si="7"/>
      </c>
    </row>
    <row r="25" spans="6:14" ht="28.5" customHeight="1" thickBot="1">
      <c r="F25" s="20"/>
      <c r="G25" s="20"/>
      <c r="H25" s="20"/>
      <c r="I25" s="20"/>
      <c r="J25" s="20"/>
      <c r="K25" s="33"/>
      <c r="L25" s="53" t="s">
        <v>6</v>
      </c>
      <c r="M25" s="127">
        <f>COUNTA(I13:I24)</f>
        <v>0</v>
      </c>
      <c r="N25" s="128"/>
    </row>
    <row r="26" spans="6:22" ht="13.5">
      <c r="F26" s="34"/>
      <c r="G26" s="35" t="str">
        <f>"申込締切日　：　"&amp;VLOOKUP(E1,'男子申込'!$H$41:$N$43,7,FALSE)</f>
        <v>申込締切日　：　令和５年４月２８日（金）</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93</v>
      </c>
      <c r="I28" s="35"/>
      <c r="J28" s="35"/>
      <c r="K28" s="36"/>
      <c r="L28" s="36"/>
      <c r="M28" s="36"/>
      <c r="N28" s="36"/>
      <c r="V28" s="19">
        <f>MAX(L13:L24)</f>
        <v>0</v>
      </c>
    </row>
    <row r="29" spans="6:22" ht="13.5">
      <c r="F29" s="34" t="s">
        <v>24</v>
      </c>
      <c r="G29" s="35" t="s">
        <v>92</v>
      </c>
      <c r="I29" s="35"/>
      <c r="J29" s="35"/>
      <c r="K29" s="36"/>
      <c r="L29" s="36"/>
      <c r="M29" s="36"/>
      <c r="N29" s="36"/>
      <c r="V29" s="19">
        <f>ROUNDDOWN(COUNT(L13:L24)/2,0)</f>
        <v>0</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t="s">
        <v>60</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t="str">
        <f>Menu!C6</f>
        <v>○○高等学校</v>
      </c>
      <c r="K36" s="153"/>
      <c r="L36" s="153"/>
      <c r="M36" s="38" t="str">
        <f>"校長　　"&amp;Menu!C10&amp;"　印"</f>
        <v>校長　　○○　○○　印</v>
      </c>
      <c r="N36" s="33"/>
    </row>
    <row r="37" spans="6:13" ht="13.5">
      <c r="F37" s="20"/>
      <c r="G37" s="20"/>
      <c r="H37" s="20"/>
      <c r="I37" s="20"/>
      <c r="J37" s="33"/>
      <c r="K37" s="33"/>
      <c r="L37" s="33"/>
      <c r="M37" s="33"/>
    </row>
    <row r="39" spans="10:13" s="54" customFormat="1" ht="13.5">
      <c r="J39" s="55"/>
      <c r="K39" s="55"/>
      <c r="L39" s="55"/>
      <c r="M39" s="55"/>
    </row>
    <row r="40" spans="10:13" s="54" customFormat="1" ht="12" customHeight="1">
      <c r="J40" s="55"/>
      <c r="K40" s="55"/>
      <c r="L40" s="55"/>
      <c r="M40" s="55"/>
    </row>
    <row r="41" spans="7:13" s="54" customFormat="1" ht="13.5" customHeight="1" hidden="1">
      <c r="G41" s="54" t="s">
        <v>131</v>
      </c>
      <c r="I41" s="54" t="s">
        <v>90</v>
      </c>
      <c r="J41" s="54" t="s">
        <v>41</v>
      </c>
      <c r="K41" s="54" t="s">
        <v>45</v>
      </c>
      <c r="L41" s="54">
        <v>5</v>
      </c>
      <c r="M41" s="56" t="str">
        <f>Menu!C26</f>
        <v>令和５年４月２８日（金）</v>
      </c>
    </row>
    <row r="42" spans="7:13" s="54" customFormat="1" ht="13.5" customHeight="1" hidden="1">
      <c r="G42" s="54" t="s">
        <v>54</v>
      </c>
      <c r="I42" s="54" t="s">
        <v>56</v>
      </c>
      <c r="J42" s="54" t="s">
        <v>46</v>
      </c>
      <c r="K42" s="54" t="s">
        <v>46</v>
      </c>
      <c r="L42" s="54">
        <v>6</v>
      </c>
      <c r="M42" s="56" t="str">
        <f>Menu!C27</f>
        <v>令和５年７月１３日（木）</v>
      </c>
    </row>
    <row r="43" spans="7:13" s="54" customFormat="1" ht="13.5" customHeight="1" hidden="1">
      <c r="G43" s="54" t="s">
        <v>55</v>
      </c>
      <c r="I43" s="54" t="s">
        <v>57</v>
      </c>
      <c r="J43" s="54" t="s">
        <v>41</v>
      </c>
      <c r="K43" s="54" t="s">
        <v>45</v>
      </c>
      <c r="L43" s="54">
        <v>9</v>
      </c>
      <c r="M43" s="56" t="str">
        <f>Menu!C28</f>
        <v>令和５年９月２０日（水）</v>
      </c>
    </row>
    <row r="44" spans="10:33" s="54" customFormat="1" ht="22.5" customHeight="1">
      <c r="J44" s="55"/>
      <c r="K44" s="55"/>
      <c r="L44" s="55"/>
      <c r="M44" s="55"/>
      <c r="AG44" s="57"/>
    </row>
    <row r="45" spans="10:33" s="54" customFormat="1" ht="13.5">
      <c r="J45" s="55"/>
      <c r="K45" s="55"/>
      <c r="L45" s="55"/>
      <c r="M45" s="55"/>
      <c r="AF45" s="57"/>
      <c r="AG45" s="58"/>
    </row>
    <row r="46" spans="10:33" s="54" customFormat="1" ht="13.5">
      <c r="J46" s="55"/>
      <c r="L46" s="55"/>
      <c r="M46" s="55"/>
      <c r="AF46" s="55"/>
      <c r="AG46" s="58"/>
    </row>
    <row r="47" spans="11:33" ht="13.5">
      <c r="K47" s="19"/>
      <c r="AG47" s="15"/>
    </row>
    <row r="48" spans="11:32" ht="13.5">
      <c r="K48" s="19"/>
      <c r="AF48" s="14"/>
    </row>
    <row r="49" ht="13.5">
      <c r="F49" s="43" t="s">
        <v>52</v>
      </c>
    </row>
    <row r="90" ht="14.25" thickBot="1"/>
    <row r="91" spans="29:31" ht="13.5">
      <c r="AC91" s="39" t="s">
        <v>3</v>
      </c>
      <c r="AD91" s="21" t="str">
        <f>Menu!C6</f>
        <v>○○高等学校</v>
      </c>
      <c r="AE91" s="22" t="str">
        <f>"学校番号：　"&amp;Menu!C4</f>
        <v>学校番号：　○○</v>
      </c>
    </row>
    <row r="92" spans="29:31" ht="13.5">
      <c r="AC92" s="40" t="s">
        <v>4</v>
      </c>
      <c r="AD92" s="161" t="str">
        <f>Menu!C12&amp;"　"&amp;Menu!C14</f>
        <v>〒○○○-○○○○　</v>
      </c>
      <c r="AE92" s="162"/>
    </row>
    <row r="93" spans="29:31" ht="13.5">
      <c r="AC93" s="40" t="s">
        <v>25</v>
      </c>
      <c r="AD93" s="150">
        <f>Menu!C16</f>
        <v>0</v>
      </c>
      <c r="AE93" s="151"/>
    </row>
    <row r="94" spans="29:31" ht="13.5">
      <c r="AC94" s="40" t="s">
        <v>47</v>
      </c>
      <c r="AD94" s="150">
        <f>Menu!C18</f>
        <v>0</v>
      </c>
      <c r="AE94" s="151"/>
    </row>
    <row r="95" spans="29:31" ht="14.25" thickBot="1">
      <c r="AC95" s="41" t="s">
        <v>30</v>
      </c>
      <c r="AD95" s="146" t="str">
        <f>Menu!C20</f>
        <v>○○　○○</v>
      </c>
      <c r="AE95" s="147"/>
    </row>
  </sheetData>
  <sheetProtection/>
  <mergeCells count="17">
    <mergeCell ref="G10:H11"/>
    <mergeCell ref="J10:J11"/>
    <mergeCell ref="N10:N11"/>
    <mergeCell ref="G12:H12"/>
    <mergeCell ref="E1:N1"/>
    <mergeCell ref="F3:G3"/>
    <mergeCell ref="F10:F11"/>
    <mergeCell ref="I10:I11"/>
    <mergeCell ref="AC12:AD12"/>
    <mergeCell ref="AD13:AE13"/>
    <mergeCell ref="M25:N25"/>
    <mergeCell ref="H34:I34"/>
    <mergeCell ref="J36:L36"/>
    <mergeCell ref="AD95:AE95"/>
    <mergeCell ref="AD92:AE92"/>
    <mergeCell ref="AD93:AE93"/>
    <mergeCell ref="AD94:AE94"/>
  </mergeCells>
  <conditionalFormatting sqref="AD14:AD15">
    <cfRule type="cellIs" priority="1" dxfId="6" operator="equal" stopIfTrue="1">
      <formula>"申し込みに不備が有ります"</formula>
    </cfRule>
  </conditionalFormatting>
  <conditionalFormatting sqref="AD13:AE13">
    <cfRule type="cellIs" priority="2" dxfId="6" operator="equal" stopIfTrue="1">
      <formula>"参加しません"</formula>
    </cfRule>
  </conditionalFormatting>
  <dataValidations count="7">
    <dataValidation allowBlank="1" showInputMessage="1" showErrorMessage="1" imeMode="on" sqref="N13:N24 H13:I24"/>
    <dataValidation type="list" allowBlank="1" showInputMessage="1" showErrorMessage="1" sqref="H3">
      <formula1>$S$6:$S$9</formula1>
    </dataValidation>
    <dataValidation type="list" allowBlank="1" showInputMessage="1" showErrorMessage="1" sqref="E1:N1">
      <formula1>$G$41:$G$43</formula1>
    </dataValidation>
    <dataValidation type="list" allowBlank="1" showInputMessage="1" showErrorMessage="1" sqref="K13:K24">
      <formula1>$X$10:$X$11</formula1>
    </dataValidation>
    <dataValidation type="list" allowBlank="1" showInputMessage="1" showErrorMessage="1" imeMode="off" sqref="J13:J24">
      <formula1>$S$13:$S$15</formula1>
    </dataValidation>
    <dataValidation type="list" allowBlank="1" showInputMessage="1" showErrorMessage="1" imeMode="off" sqref="M13:M24">
      <formula1>$Y$10:$Y$21</formula1>
    </dataValidation>
    <dataValidation type="list" allowBlank="1" showInputMessage="1" showErrorMessage="1" imeMode="off" sqref="L13:L24">
      <formula1>$Z$10:$Z$15</formula1>
    </dataValidation>
  </dataValidations>
  <hyperlinks>
    <hyperlink ref="F49" location="処理用!A1" display="処理用!A1"/>
  </hyperlinks>
  <printOptions horizontalCentered="1" verticalCentered="1"/>
  <pageMargins left="0.31496062992125984" right="0.35433070866141736" top="0.35433070866141736" bottom="0.35433070866141736" header="0.1968503937007874" footer="0.5118110236220472"/>
  <pageSetup horizontalDpi="300" verticalDpi="300" orientation="portrait" paperSize="9" scale="110" r:id="rId4"/>
  <drawing r:id="rId3"/>
  <legacyDrawing r:id="rId2"/>
</worksheet>
</file>

<file path=xl/worksheets/sheet5.xml><?xml version="1.0" encoding="utf-8"?>
<worksheet xmlns="http://schemas.openxmlformats.org/spreadsheetml/2006/main" xmlns:r="http://schemas.openxmlformats.org/officeDocument/2006/relationships">
  <dimension ref="A1:S59"/>
  <sheetViews>
    <sheetView showGridLines="0" showRowColHeaders="0" view="pageBreakPreview" zoomScale="77" zoomScaleSheetLayoutView="77" zoomScalePageLayoutView="0" workbookViewId="0" topLeftCell="A1">
      <selection activeCell="B25" sqref="B25"/>
    </sheetView>
  </sheetViews>
  <sheetFormatPr defaultColWidth="9.00390625" defaultRowHeight="13.5"/>
  <cols>
    <col min="1" max="1" width="2.25390625" style="62" customWidth="1"/>
    <col min="2" max="10" width="11.75390625" style="62" customWidth="1"/>
    <col min="11" max="11" width="12.875" style="62" customWidth="1"/>
    <col min="12" max="13" width="0" style="62" hidden="1" customWidth="1"/>
    <col min="14" max="16384" width="9.00390625" style="62" customWidth="1"/>
  </cols>
  <sheetData>
    <row r="1" spans="1:19" ht="12">
      <c r="A1" s="60"/>
      <c r="B1" s="61" t="s">
        <v>61</v>
      </c>
      <c r="C1" s="60"/>
      <c r="D1" s="60"/>
      <c r="E1" s="60"/>
      <c r="F1" s="60"/>
      <c r="G1" s="60"/>
      <c r="H1" s="60"/>
      <c r="I1" s="60"/>
      <c r="J1" s="60"/>
      <c r="K1" s="60"/>
      <c r="L1" s="60"/>
      <c r="M1" s="60"/>
      <c r="N1" s="60"/>
      <c r="O1" s="60"/>
      <c r="P1" s="60"/>
      <c r="Q1" s="60"/>
      <c r="R1" s="60"/>
      <c r="S1" s="60"/>
    </row>
    <row r="2" spans="1:19" ht="7.5" customHeight="1">
      <c r="A2" s="60"/>
      <c r="B2" s="61"/>
      <c r="C2" s="60"/>
      <c r="D2" s="60"/>
      <c r="E2" s="60"/>
      <c r="F2" s="60"/>
      <c r="G2" s="60"/>
      <c r="H2" s="60"/>
      <c r="I2" s="60"/>
      <c r="J2" s="60"/>
      <c r="K2" s="60"/>
      <c r="L2" s="60"/>
      <c r="M2" s="60"/>
      <c r="N2" s="60"/>
      <c r="O2" s="60"/>
      <c r="P2" s="60"/>
      <c r="Q2" s="60"/>
      <c r="R2" s="60"/>
      <c r="S2" s="60"/>
    </row>
    <row r="3" spans="1:19" ht="13.5" customHeight="1">
      <c r="A3" s="60"/>
      <c r="B3" s="154" t="s">
        <v>62</v>
      </c>
      <c r="C3" s="154"/>
      <c r="D3" s="154"/>
      <c r="E3" s="154"/>
      <c r="F3" s="154"/>
      <c r="G3" s="154"/>
      <c r="H3" s="154"/>
      <c r="I3" s="154"/>
      <c r="J3" s="154"/>
      <c r="K3" s="154"/>
      <c r="L3" s="60"/>
      <c r="M3" s="60"/>
      <c r="N3" s="60"/>
      <c r="O3" s="60"/>
      <c r="P3" s="60"/>
      <c r="Q3" s="60"/>
      <c r="R3" s="60"/>
      <c r="S3" s="60"/>
    </row>
    <row r="4" spans="1:19" ht="13.5" customHeight="1">
      <c r="A4" s="60"/>
      <c r="B4" s="154"/>
      <c r="C4" s="154"/>
      <c r="D4" s="154"/>
      <c r="E4" s="154"/>
      <c r="F4" s="154"/>
      <c r="G4" s="154"/>
      <c r="H4" s="154"/>
      <c r="I4" s="154"/>
      <c r="J4" s="154"/>
      <c r="K4" s="154"/>
      <c r="L4" s="60"/>
      <c r="M4" s="60"/>
      <c r="N4" s="60"/>
      <c r="O4" s="60"/>
      <c r="P4" s="60"/>
      <c r="Q4" s="60"/>
      <c r="R4" s="60"/>
      <c r="S4" s="60"/>
    </row>
    <row r="5" spans="1:19" ht="13.5" customHeight="1">
      <c r="A5" s="60"/>
      <c r="B5" s="154"/>
      <c r="C5" s="154"/>
      <c r="D5" s="154"/>
      <c r="E5" s="154"/>
      <c r="F5" s="154"/>
      <c r="G5" s="154"/>
      <c r="H5" s="154"/>
      <c r="I5" s="154"/>
      <c r="J5" s="154"/>
      <c r="K5" s="154"/>
      <c r="L5" s="60"/>
      <c r="M5" s="60"/>
      <c r="N5" s="60"/>
      <c r="O5" s="60"/>
      <c r="P5" s="60"/>
      <c r="Q5" s="60"/>
      <c r="R5" s="60"/>
      <c r="S5" s="60"/>
    </row>
    <row r="6" spans="1:19" ht="13.5" customHeight="1">
      <c r="A6" s="60"/>
      <c r="B6" s="154"/>
      <c r="C6" s="154"/>
      <c r="D6" s="154"/>
      <c r="E6" s="154"/>
      <c r="F6" s="154"/>
      <c r="G6" s="154"/>
      <c r="H6" s="154"/>
      <c r="I6" s="154"/>
      <c r="J6" s="154"/>
      <c r="K6" s="154"/>
      <c r="L6" s="60"/>
      <c r="M6" s="60"/>
      <c r="N6" s="60"/>
      <c r="O6" s="60"/>
      <c r="P6" s="60"/>
      <c r="Q6" s="60"/>
      <c r="R6" s="60"/>
      <c r="S6" s="60"/>
    </row>
    <row r="7" spans="1:19" ht="13.5" customHeight="1">
      <c r="A7" s="60"/>
      <c r="B7" s="154"/>
      <c r="C7" s="154"/>
      <c r="D7" s="154"/>
      <c r="E7" s="154"/>
      <c r="F7" s="154"/>
      <c r="G7" s="154"/>
      <c r="H7" s="154"/>
      <c r="I7" s="154"/>
      <c r="J7" s="154"/>
      <c r="K7" s="154"/>
      <c r="L7" s="60"/>
      <c r="M7" s="60"/>
      <c r="N7" s="60"/>
      <c r="O7" s="60"/>
      <c r="P7" s="60"/>
      <c r="Q7" s="60"/>
      <c r="R7" s="60"/>
      <c r="S7" s="60"/>
    </row>
    <row r="8" spans="1:19" ht="13.5" customHeight="1">
      <c r="A8" s="60"/>
      <c r="B8" s="154"/>
      <c r="C8" s="154"/>
      <c r="D8" s="154"/>
      <c r="E8" s="154"/>
      <c r="F8" s="154"/>
      <c r="G8" s="154"/>
      <c r="H8" s="154"/>
      <c r="I8" s="154"/>
      <c r="J8" s="154"/>
      <c r="K8" s="154"/>
      <c r="L8" s="60"/>
      <c r="M8" s="60"/>
      <c r="N8" s="60"/>
      <c r="O8" s="60"/>
      <c r="P8" s="60"/>
      <c r="Q8" s="60"/>
      <c r="R8" s="60"/>
      <c r="S8" s="60"/>
    </row>
    <row r="9" spans="1:19" ht="13.5" customHeight="1">
      <c r="A9" s="60"/>
      <c r="B9" s="154"/>
      <c r="C9" s="154"/>
      <c r="D9" s="154"/>
      <c r="E9" s="154"/>
      <c r="F9" s="154"/>
      <c r="G9" s="154"/>
      <c r="H9" s="154"/>
      <c r="I9" s="154"/>
      <c r="J9" s="154"/>
      <c r="K9" s="154"/>
      <c r="L9" s="60"/>
      <c r="M9" s="60"/>
      <c r="N9" s="60"/>
      <c r="O9" s="60"/>
      <c r="P9" s="60"/>
      <c r="Q9" s="60"/>
      <c r="R9" s="60"/>
      <c r="S9" s="60"/>
    </row>
    <row r="10" spans="1:19" ht="13.5" customHeight="1">
      <c r="A10" s="60"/>
      <c r="B10" s="154"/>
      <c r="C10" s="154"/>
      <c r="D10" s="154"/>
      <c r="E10" s="154"/>
      <c r="F10" s="154"/>
      <c r="G10" s="154"/>
      <c r="H10" s="154"/>
      <c r="I10" s="154"/>
      <c r="J10" s="154"/>
      <c r="K10" s="154"/>
      <c r="L10" s="60"/>
      <c r="M10" s="60"/>
      <c r="N10" s="60"/>
      <c r="O10" s="60"/>
      <c r="P10" s="60"/>
      <c r="Q10" s="60"/>
      <c r="R10" s="60"/>
      <c r="S10" s="60"/>
    </row>
    <row r="11" spans="1:19" ht="10.5" customHeight="1">
      <c r="A11" s="60"/>
      <c r="B11" s="60"/>
      <c r="C11" s="60"/>
      <c r="D11" s="60"/>
      <c r="E11" s="60"/>
      <c r="F11" s="60"/>
      <c r="G11" s="60"/>
      <c r="H11" s="60"/>
      <c r="I11" s="60"/>
      <c r="J11" s="60"/>
      <c r="K11" s="60"/>
      <c r="L11" s="60"/>
      <c r="M11" s="60"/>
      <c r="N11" s="60"/>
      <c r="O11" s="60"/>
      <c r="P11" s="60"/>
      <c r="Q11" s="60"/>
      <c r="R11" s="60"/>
      <c r="S11" s="60"/>
    </row>
    <row r="12" spans="1:19" ht="21" customHeight="1">
      <c r="A12" s="60"/>
      <c r="B12" s="63" t="s">
        <v>63</v>
      </c>
      <c r="D12" s="64" t="s">
        <v>64</v>
      </c>
      <c r="E12" s="65"/>
      <c r="H12" s="60"/>
      <c r="I12" s="60"/>
      <c r="J12" s="60"/>
      <c r="K12" s="60"/>
      <c r="L12" s="60"/>
      <c r="M12" s="60"/>
      <c r="N12" s="60"/>
      <c r="O12" s="60"/>
      <c r="P12" s="60"/>
      <c r="Q12" s="60"/>
      <c r="R12" s="60"/>
      <c r="S12" s="60"/>
    </row>
    <row r="13" spans="1:19" ht="12">
      <c r="A13" s="60"/>
      <c r="B13" s="60"/>
      <c r="C13" s="60"/>
      <c r="D13" s="60"/>
      <c r="E13" s="66"/>
      <c r="F13" s="60"/>
      <c r="G13" s="60"/>
      <c r="H13" s="60"/>
      <c r="I13" s="60"/>
      <c r="J13" s="60"/>
      <c r="K13" s="60"/>
      <c r="L13" s="60"/>
      <c r="M13" s="60"/>
      <c r="N13" s="60"/>
      <c r="O13" s="60"/>
      <c r="P13" s="60"/>
      <c r="Q13" s="60"/>
      <c r="R13" s="60"/>
      <c r="S13" s="60"/>
    </row>
    <row r="14" spans="1:19" ht="12">
      <c r="A14" s="60"/>
      <c r="B14" s="60"/>
      <c r="C14" s="60"/>
      <c r="D14" s="60"/>
      <c r="E14" s="60"/>
      <c r="F14" s="60"/>
      <c r="G14" s="60"/>
      <c r="H14" s="60"/>
      <c r="I14" s="60"/>
      <c r="J14" s="60"/>
      <c r="K14" s="60"/>
      <c r="L14" s="60"/>
      <c r="M14" s="60"/>
      <c r="N14" s="60"/>
      <c r="O14" s="60"/>
      <c r="P14" s="60"/>
      <c r="Q14" s="60"/>
      <c r="R14" s="60"/>
      <c r="S14" s="60"/>
    </row>
    <row r="15" spans="1:19" ht="8.25" customHeight="1">
      <c r="A15" s="60"/>
      <c r="B15" s="60"/>
      <c r="C15" s="60"/>
      <c r="D15" s="60"/>
      <c r="E15" s="60"/>
      <c r="F15" s="60"/>
      <c r="G15" s="60"/>
      <c r="H15" s="60"/>
      <c r="I15" s="60"/>
      <c r="J15" s="60"/>
      <c r="K15" s="60"/>
      <c r="L15" s="60"/>
      <c r="M15" s="60"/>
      <c r="N15" s="60"/>
      <c r="O15" s="60"/>
      <c r="P15" s="60"/>
      <c r="Q15" s="60"/>
      <c r="R15" s="60"/>
      <c r="S15" s="60"/>
    </row>
    <row r="16" spans="1:19" ht="22.5" customHeight="1">
      <c r="A16" s="60"/>
      <c r="B16" s="155" t="s">
        <v>15</v>
      </c>
      <c r="C16" s="157" t="s">
        <v>66</v>
      </c>
      <c r="D16" s="159" t="str">
        <f>Menu!C6</f>
        <v>○○高等学校</v>
      </c>
      <c r="E16" s="160"/>
      <c r="F16" s="60"/>
      <c r="G16" s="60"/>
      <c r="H16" s="60"/>
      <c r="I16" s="60"/>
      <c r="J16" s="60"/>
      <c r="K16" s="60"/>
      <c r="L16" s="60"/>
      <c r="M16" s="60"/>
      <c r="N16" s="60"/>
      <c r="O16" s="60"/>
      <c r="P16" s="60"/>
      <c r="Q16" s="60"/>
      <c r="R16" s="60"/>
      <c r="S16" s="60"/>
    </row>
    <row r="17" spans="1:19" ht="21" customHeight="1">
      <c r="A17" s="67"/>
      <c r="B17" s="156"/>
      <c r="C17" s="158"/>
      <c r="D17" s="159"/>
      <c r="E17" s="160"/>
      <c r="F17" s="60"/>
      <c r="G17" s="60"/>
      <c r="H17" s="60"/>
      <c r="I17" s="60"/>
      <c r="J17" s="60"/>
      <c r="K17" s="60"/>
      <c r="L17" s="60"/>
      <c r="M17" s="60"/>
      <c r="N17" s="60"/>
      <c r="O17" s="60"/>
      <c r="P17" s="60"/>
      <c r="Q17" s="60"/>
      <c r="R17" s="60"/>
      <c r="S17" s="60"/>
    </row>
    <row r="18" spans="1:19" ht="9.75" customHeight="1">
      <c r="A18" s="67"/>
      <c r="B18" s="67"/>
      <c r="C18" s="67"/>
      <c r="D18" s="67"/>
      <c r="E18" s="67"/>
      <c r="F18" s="67"/>
      <c r="G18" s="67"/>
      <c r="H18" s="68"/>
      <c r="I18" s="68"/>
      <c r="J18" s="68"/>
      <c r="K18" s="68"/>
      <c r="L18" s="60"/>
      <c r="M18" s="60"/>
      <c r="N18" s="60"/>
      <c r="O18" s="60"/>
      <c r="P18" s="60"/>
      <c r="Q18" s="60"/>
      <c r="R18" s="60"/>
      <c r="S18" s="60"/>
    </row>
    <row r="19" spans="1:19" ht="23.25" customHeight="1">
      <c r="A19" s="60"/>
      <c r="B19" s="69" t="s">
        <v>67</v>
      </c>
      <c r="C19" s="60"/>
      <c r="D19" s="70" t="s">
        <v>68</v>
      </c>
      <c r="E19" s="60"/>
      <c r="F19" s="60"/>
      <c r="G19" s="60"/>
      <c r="H19" s="60"/>
      <c r="I19" s="60"/>
      <c r="J19" s="60"/>
      <c r="K19" s="60"/>
      <c r="L19" s="60"/>
      <c r="M19" s="60"/>
      <c r="N19" s="60"/>
      <c r="O19" s="60"/>
      <c r="P19" s="60"/>
      <c r="Q19" s="60"/>
      <c r="R19" s="60"/>
      <c r="S19" s="60"/>
    </row>
    <row r="20" spans="1:19" ht="15.75" customHeight="1">
      <c r="A20" s="60"/>
      <c r="B20" s="60" t="s">
        <v>69</v>
      </c>
      <c r="C20" s="67"/>
      <c r="D20" s="60"/>
      <c r="E20" s="60"/>
      <c r="F20" s="60"/>
      <c r="G20" s="60"/>
      <c r="H20" s="60"/>
      <c r="I20" s="60"/>
      <c r="J20" s="60"/>
      <c r="K20" s="60"/>
      <c r="L20" s="60"/>
      <c r="M20" s="60"/>
      <c r="N20" s="60"/>
      <c r="O20" s="60"/>
      <c r="P20" s="60"/>
      <c r="Q20" s="60"/>
      <c r="R20" s="60"/>
      <c r="S20" s="60"/>
    </row>
    <row r="21" spans="1:19" ht="19.5" customHeight="1">
      <c r="A21" s="60"/>
      <c r="B21" s="71" t="s">
        <v>70</v>
      </c>
      <c r="C21" s="60"/>
      <c r="D21" s="60"/>
      <c r="E21" s="60"/>
      <c r="F21" s="60"/>
      <c r="G21" s="60"/>
      <c r="H21" s="60"/>
      <c r="I21" s="60"/>
      <c r="J21" s="60"/>
      <c r="K21" s="60"/>
      <c r="L21" s="60"/>
      <c r="M21" s="60"/>
      <c r="N21" s="60"/>
      <c r="O21" s="60"/>
      <c r="P21" s="60"/>
      <c r="Q21" s="60"/>
      <c r="R21" s="60"/>
      <c r="S21" s="60"/>
    </row>
    <row r="22" spans="1:19" ht="9" customHeight="1">
      <c r="A22" s="60"/>
      <c r="B22" s="72"/>
      <c r="C22" s="72"/>
      <c r="D22" s="73"/>
      <c r="E22" s="60"/>
      <c r="F22" s="60"/>
      <c r="G22" s="60"/>
      <c r="H22" s="60"/>
      <c r="I22" s="60"/>
      <c r="J22" s="60"/>
      <c r="K22" s="60"/>
      <c r="L22" s="60"/>
      <c r="M22" s="60"/>
      <c r="N22" s="60"/>
      <c r="O22" s="60"/>
      <c r="P22" s="60"/>
      <c r="Q22" s="60"/>
      <c r="R22" s="60"/>
      <c r="S22" s="60"/>
    </row>
    <row r="23" spans="1:19" ht="15" customHeight="1">
      <c r="A23" s="60"/>
      <c r="B23" s="72"/>
      <c r="C23" s="74"/>
      <c r="D23" s="60"/>
      <c r="E23" s="60"/>
      <c r="F23" s="60"/>
      <c r="G23" s="60"/>
      <c r="H23" s="60"/>
      <c r="I23" s="60"/>
      <c r="J23" s="60"/>
      <c r="K23" s="60"/>
      <c r="L23" s="60"/>
      <c r="M23" s="60"/>
      <c r="N23" s="60"/>
      <c r="O23" s="60"/>
      <c r="P23" s="60"/>
      <c r="Q23" s="60"/>
      <c r="R23" s="60"/>
      <c r="S23" s="60"/>
    </row>
    <row r="24" spans="1:19" ht="24.75" customHeight="1">
      <c r="A24" s="60"/>
      <c r="B24" s="75" t="s">
        <v>71</v>
      </c>
      <c r="C24" s="75" t="s">
        <v>72</v>
      </c>
      <c r="D24" s="75" t="s">
        <v>73</v>
      </c>
      <c r="E24" s="75" t="s">
        <v>74</v>
      </c>
      <c r="F24" s="75" t="s">
        <v>75</v>
      </c>
      <c r="G24" s="75" t="s">
        <v>76</v>
      </c>
      <c r="H24" s="75" t="s">
        <v>77</v>
      </c>
      <c r="I24" s="76" t="s">
        <v>78</v>
      </c>
      <c r="J24" s="77" t="s">
        <v>79</v>
      </c>
      <c r="K24" s="77" t="s">
        <v>80</v>
      </c>
      <c r="L24" s="60"/>
      <c r="M24" s="60"/>
      <c r="N24" s="60"/>
      <c r="O24" s="60"/>
      <c r="P24" s="60"/>
      <c r="Q24" s="60"/>
      <c r="R24" s="60"/>
      <c r="S24" s="60"/>
    </row>
    <row r="25" spans="1:19" ht="24.75" customHeight="1">
      <c r="A25" s="60"/>
      <c r="B25" s="78" t="str">
        <f>Menu!C24</f>
        <v>○○　○○</v>
      </c>
      <c r="C25" s="78">
        <f>_xlfn.IFERROR(VLOOKUP('女子データ'!C59,'女子申込'!$A$13:$J$24,7,FALSE)&amp;"　"&amp;VLOOKUP('女子データ'!C59,'女子申込'!$A$13:$J$24,8,FALSE)&amp;VLOOKUP('女子データ'!C59,'女子申込'!$A$13:$J$24,10,FALSE),"")</f>
      </c>
      <c r="D25" s="78">
        <f>_xlfn.IFERROR(VLOOKUP('女子データ'!D59,'女子申込'!$A$13:$J$24,7,FALSE)&amp;"　"&amp;VLOOKUP('女子データ'!D59,'女子申込'!$A$13:$J$24,8,FALSE)&amp;VLOOKUP('女子データ'!D59,'女子申込'!$A$13:$J$24,10,FALSE),"")</f>
      </c>
      <c r="E25" s="78">
        <f>_xlfn.IFERROR(VLOOKUP('女子データ'!E59,'女子申込'!$A$13:$J$24,7,FALSE)&amp;"　"&amp;VLOOKUP('女子データ'!E59,'女子申込'!$A$13:$J$24,8,FALSE)&amp;VLOOKUP('女子データ'!E59,'女子申込'!$A$13:$J$24,10,FALSE),"")</f>
      </c>
      <c r="F25" s="78">
        <f>_xlfn.IFERROR(VLOOKUP('女子データ'!F59,'女子申込'!$A$13:$J$24,7,FALSE)&amp;"　"&amp;VLOOKUP('女子データ'!F59,'女子申込'!$A$13:$J$24,8,FALSE)&amp;VLOOKUP('女子データ'!F59,'女子申込'!$A$13:$J$24,10,FALSE),"")</f>
      </c>
      <c r="G25" s="78">
        <f>_xlfn.IFERROR(VLOOKUP('女子データ'!G59,'女子申込'!$A$13:$J$24,7,FALSE)&amp;"　"&amp;VLOOKUP('女子データ'!G59,'女子申込'!$A$13:$J$24,8,FALSE)&amp;VLOOKUP('女子データ'!G59,'女子申込'!$A$13:$J$24,10,FALSE),"")</f>
      </c>
      <c r="H25" s="78">
        <f>_xlfn.IFERROR(VLOOKUP('女子データ'!H59,'女子申込'!$A$13:$J$24,7,FALSE)&amp;"　"&amp;VLOOKUP('女子データ'!H59,'女子申込'!$A$13:$J$24,8,FALSE)&amp;VLOOKUP('女子データ'!H59,'女子申込'!$A$13:$J$24,10,FALSE),"")</f>
      </c>
      <c r="I25" s="78">
        <f>_xlfn.IFERROR(VLOOKUP('女子データ'!I59,'女子申込'!$A$13:$J$24,7,FALSE)&amp;"　"&amp;VLOOKUP('女子データ'!I59,'女子申込'!$A$13:$J$24,8,FALSE)&amp;VLOOKUP('女子データ'!I59,'女子申込'!$A$13:$J$24,10,FALSE),"")</f>
      </c>
      <c r="J25" s="78">
        <f>_xlfn.IFERROR(VLOOKUP('女子データ'!J59,'女子申込'!$A$13:$J$24,7,FALSE)&amp;"　"&amp;VLOOKUP('女子データ'!J59,'女子申込'!$A$13:$J$24,8,FALSE)&amp;VLOOKUP('女子データ'!J59,'女子申込'!$A$13:$J$24,10,FALSE),"")</f>
      </c>
      <c r="K25" s="78">
        <f>_xlfn.IFERROR(VLOOKUP('女子データ'!K59,'女子申込'!$A$13:$J$24,7,FALSE)&amp;"　"&amp;VLOOKUP('女子データ'!K59,'女子申込'!$A$13:$J$24,8,FALSE)&amp;VLOOKUP('女子データ'!K59,'女子申込'!$A$13:$J$24,10,FALSE),"")</f>
      </c>
      <c r="L25" s="60"/>
      <c r="M25" s="60"/>
      <c r="N25" s="60"/>
      <c r="O25" s="60"/>
      <c r="P25" s="60"/>
      <c r="Q25" s="60"/>
      <c r="R25" s="60"/>
      <c r="S25" s="60"/>
    </row>
    <row r="26" spans="1:19" ht="11.25" customHeight="1">
      <c r="A26" s="60"/>
      <c r="B26" s="61"/>
      <c r="C26" s="60"/>
      <c r="D26" s="60"/>
      <c r="E26" s="60"/>
      <c r="F26" s="60"/>
      <c r="G26" s="60"/>
      <c r="H26" s="60"/>
      <c r="I26" s="60"/>
      <c r="J26" s="60"/>
      <c r="K26" s="60"/>
      <c r="L26" s="60"/>
      <c r="M26" s="60"/>
      <c r="N26" s="60"/>
      <c r="O26" s="60"/>
      <c r="P26" s="60"/>
      <c r="Q26" s="60"/>
      <c r="R26" s="60"/>
      <c r="S26" s="60"/>
    </row>
    <row r="27" spans="1:19" ht="25.5" customHeight="1">
      <c r="A27" s="60"/>
      <c r="B27" s="79" t="s">
        <v>81</v>
      </c>
      <c r="C27" s="60"/>
      <c r="D27" s="70"/>
      <c r="E27" s="60"/>
      <c r="F27" s="60"/>
      <c r="G27" s="60"/>
      <c r="H27" s="60"/>
      <c r="I27" s="60"/>
      <c r="J27" s="60"/>
      <c r="K27" s="60"/>
      <c r="L27" s="60"/>
      <c r="M27" s="60"/>
      <c r="N27" s="60"/>
      <c r="O27" s="60"/>
      <c r="P27" s="60"/>
      <c r="Q27" s="60"/>
      <c r="R27" s="60"/>
      <c r="S27" s="60"/>
    </row>
    <row r="28" spans="1:19" ht="17.25" customHeight="1">
      <c r="A28" s="60"/>
      <c r="B28" s="60" t="s">
        <v>82</v>
      </c>
      <c r="C28" s="80"/>
      <c r="D28" s="80"/>
      <c r="E28" s="80"/>
      <c r="F28" s="80"/>
      <c r="G28" s="80"/>
      <c r="H28" s="80"/>
      <c r="I28" s="80"/>
      <c r="J28" s="80"/>
      <c r="K28" s="60"/>
      <c r="L28" s="60"/>
      <c r="M28" s="60"/>
      <c r="N28" s="60"/>
      <c r="O28" s="60"/>
      <c r="P28" s="60"/>
      <c r="Q28" s="60"/>
      <c r="R28" s="60"/>
      <c r="S28" s="60"/>
    </row>
    <row r="29" spans="1:19" ht="16.5" customHeight="1">
      <c r="A29" s="60"/>
      <c r="B29" s="60" t="s">
        <v>83</v>
      </c>
      <c r="C29" s="80"/>
      <c r="D29" s="80"/>
      <c r="E29" s="80"/>
      <c r="F29" s="80"/>
      <c r="G29" s="80"/>
      <c r="H29" s="80"/>
      <c r="I29" s="80"/>
      <c r="J29" s="80"/>
      <c r="K29" s="60"/>
      <c r="L29" s="60"/>
      <c r="M29" s="60"/>
      <c r="N29" s="60"/>
      <c r="O29" s="60"/>
      <c r="P29" s="60"/>
      <c r="Q29" s="60"/>
      <c r="R29" s="60"/>
      <c r="S29" s="60"/>
    </row>
    <row r="30" spans="1:19" ht="16.5" customHeight="1">
      <c r="A30" s="60"/>
      <c r="B30" s="60" t="s">
        <v>84</v>
      </c>
      <c r="C30" s="80"/>
      <c r="D30" s="80"/>
      <c r="E30" s="80"/>
      <c r="F30" s="80"/>
      <c r="G30" s="80"/>
      <c r="H30" s="80"/>
      <c r="I30" s="80"/>
      <c r="J30" s="80"/>
      <c r="K30" s="60"/>
      <c r="L30" s="60"/>
      <c r="M30" s="60"/>
      <c r="N30" s="60"/>
      <c r="O30" s="60"/>
      <c r="P30" s="60"/>
      <c r="Q30" s="60"/>
      <c r="R30" s="60"/>
      <c r="S30" s="60"/>
    </row>
    <row r="31" spans="1:19" ht="18" customHeight="1">
      <c r="A31" s="60"/>
      <c r="B31" s="60" t="s">
        <v>85</v>
      </c>
      <c r="C31" s="80"/>
      <c r="D31" s="80"/>
      <c r="E31" s="80"/>
      <c r="F31" s="80"/>
      <c r="G31" s="80"/>
      <c r="H31" s="80"/>
      <c r="I31" s="80"/>
      <c r="J31" s="80"/>
      <c r="K31" s="60"/>
      <c r="L31" s="60"/>
      <c r="M31" s="60"/>
      <c r="N31" s="60"/>
      <c r="O31" s="60"/>
      <c r="P31" s="60"/>
      <c r="Q31" s="60"/>
      <c r="R31" s="60"/>
      <c r="S31" s="60"/>
    </row>
    <row r="32" spans="1:19" ht="18.75" customHeight="1">
      <c r="A32" s="60"/>
      <c r="B32" s="60" t="s">
        <v>86</v>
      </c>
      <c r="C32" s="80"/>
      <c r="D32" s="80"/>
      <c r="E32" s="80"/>
      <c r="F32" s="80"/>
      <c r="G32" s="80"/>
      <c r="H32" s="80"/>
      <c r="I32" s="80"/>
      <c r="J32" s="80"/>
      <c r="K32" s="60"/>
      <c r="L32" s="60"/>
      <c r="M32" s="60"/>
      <c r="N32" s="60"/>
      <c r="O32" s="60"/>
      <c r="P32" s="60"/>
      <c r="Q32" s="60"/>
      <c r="R32" s="60"/>
      <c r="S32" s="60"/>
    </row>
    <row r="33" spans="1:19" ht="8.25" customHeight="1">
      <c r="A33" s="60"/>
      <c r="B33" s="61"/>
      <c r="C33" s="60"/>
      <c r="D33" s="60"/>
      <c r="E33" s="60"/>
      <c r="F33" s="60"/>
      <c r="G33" s="60"/>
      <c r="H33" s="60"/>
      <c r="I33" s="60"/>
      <c r="J33" s="60"/>
      <c r="K33" s="60"/>
      <c r="L33" s="60"/>
      <c r="M33" s="60"/>
      <c r="N33" s="60"/>
      <c r="O33" s="60"/>
      <c r="P33" s="60"/>
      <c r="Q33" s="60"/>
      <c r="R33" s="60"/>
      <c r="S33" s="60"/>
    </row>
    <row r="34" spans="1:19" ht="18" customHeight="1">
      <c r="A34" s="60"/>
      <c r="B34" s="61" t="s">
        <v>87</v>
      </c>
      <c r="C34" s="60"/>
      <c r="D34" s="60"/>
      <c r="E34" s="60"/>
      <c r="F34" s="61" t="s">
        <v>88</v>
      </c>
      <c r="G34" s="60"/>
      <c r="H34" s="60"/>
      <c r="I34" s="60"/>
      <c r="J34" s="60"/>
      <c r="K34" s="60"/>
      <c r="L34" s="60"/>
      <c r="M34" s="60"/>
      <c r="N34" s="60"/>
      <c r="O34" s="60"/>
      <c r="P34" s="60"/>
      <c r="Q34" s="60"/>
      <c r="R34" s="60"/>
      <c r="S34" s="60"/>
    </row>
    <row r="35" spans="1:19" ht="8.25" customHeight="1">
      <c r="A35" s="60"/>
      <c r="B35" s="60"/>
      <c r="C35" s="60"/>
      <c r="D35" s="60"/>
      <c r="E35" s="60"/>
      <c r="F35" s="60"/>
      <c r="G35" s="60"/>
      <c r="H35" s="60"/>
      <c r="I35" s="60"/>
      <c r="J35" s="60"/>
      <c r="K35" s="60"/>
      <c r="L35" s="60"/>
      <c r="M35" s="60"/>
      <c r="N35" s="60"/>
      <c r="O35" s="60"/>
      <c r="P35" s="60"/>
      <c r="Q35" s="60"/>
      <c r="R35" s="60"/>
      <c r="S35" s="60"/>
    </row>
    <row r="36" spans="1:19" ht="24.75" customHeight="1">
      <c r="A36" s="60"/>
      <c r="B36" s="81"/>
      <c r="C36" s="81" t="s">
        <v>66</v>
      </c>
      <c r="D36" s="75" t="s">
        <v>89</v>
      </c>
      <c r="E36" s="60"/>
      <c r="F36" s="81"/>
      <c r="G36" s="81" t="s">
        <v>66</v>
      </c>
      <c r="H36" s="77" t="s">
        <v>89</v>
      </c>
      <c r="I36" s="60"/>
      <c r="J36" s="60"/>
      <c r="K36" s="60"/>
      <c r="L36" s="60"/>
      <c r="M36" s="60"/>
      <c r="N36" s="60"/>
      <c r="O36" s="60"/>
      <c r="P36" s="60"/>
      <c r="Q36" s="60"/>
      <c r="R36" s="60"/>
      <c r="S36" s="60"/>
    </row>
    <row r="37" spans="1:19" ht="24.75" customHeight="1">
      <c r="A37" s="60"/>
      <c r="B37" s="82">
        <v>1</v>
      </c>
      <c r="C37" s="83">
        <f>IF(COUNT('女子申込'!$M$13:$M$24)&gt;0,Menu!$C$8,"")</f>
      </c>
      <c r="D37" s="78">
        <f>_xlfn.IFERROR(VLOOKUP(B37,'女子申込'!$C$13:$H$24,5,FALSE)&amp;"　"&amp;VLOOKUP(B37,'女子申込'!$C$13:$H$24,6,FALSE),"")</f>
      </c>
      <c r="E37" s="60"/>
      <c r="F37" s="82">
        <v>1</v>
      </c>
      <c r="G37" s="83">
        <f>IF(COUNT('女子申込'!$L$13:$L$24)&gt;0,Menu!$C$8,"")</f>
      </c>
      <c r="H37" s="78">
        <f>_xlfn.IFERROR(VLOOKUP(L37,'女子申込'!$B$13:$H$24,6,FALSE)&amp;"・"&amp;VLOOKUP(M37,'女子申込'!$B$13:$H$24,6,FALSE),"")</f>
      </c>
      <c r="I37" s="84"/>
      <c r="J37" s="60"/>
      <c r="K37" s="60"/>
      <c r="L37" s="60">
        <v>1</v>
      </c>
      <c r="M37" s="60">
        <v>2</v>
      </c>
      <c r="N37" s="60"/>
      <c r="O37" s="60"/>
      <c r="P37" s="60"/>
      <c r="Q37" s="60"/>
      <c r="R37" s="60"/>
      <c r="S37" s="60"/>
    </row>
    <row r="38" spans="1:19" ht="24.75" customHeight="1">
      <c r="A38" s="60"/>
      <c r="B38" s="82">
        <v>2</v>
      </c>
      <c r="C38" s="83">
        <f>IF(COUNT('女子申込'!$M$13:$M$24)&gt;1,Menu!$C$8,"")</f>
      </c>
      <c r="D38" s="78">
        <f>_xlfn.IFERROR(VLOOKUP(B38,'女子申込'!$C$13:$H$24,5,FALSE)&amp;"　"&amp;VLOOKUP(B38,'女子申込'!$C$13:$H$24,6,FALSE),"")</f>
      </c>
      <c r="E38" s="60"/>
      <c r="F38" s="82">
        <v>2</v>
      </c>
      <c r="G38" s="83">
        <f>IF(COUNT('女子申込'!$L$13:$L$24)&gt;2,Menu!$C$8,"")</f>
      </c>
      <c r="H38" s="78">
        <f>_xlfn.IFERROR(VLOOKUP(L38,'女子申込'!$B$13:$H$24,6,FALSE)&amp;"・"&amp;VLOOKUP(M38,'女子申込'!$B$13:$H$24,6,FALSE),"")</f>
      </c>
      <c r="I38" s="84"/>
      <c r="J38" s="60"/>
      <c r="K38" s="60"/>
      <c r="L38" s="60">
        <v>3</v>
      </c>
      <c r="M38" s="60">
        <v>4</v>
      </c>
      <c r="N38" s="60"/>
      <c r="O38" s="60"/>
      <c r="P38" s="60"/>
      <c r="Q38" s="60"/>
      <c r="R38" s="60"/>
      <c r="S38" s="60"/>
    </row>
    <row r="39" spans="1:19" ht="24.75" customHeight="1">
      <c r="A39" s="60"/>
      <c r="B39" s="82">
        <v>3</v>
      </c>
      <c r="C39" s="83">
        <f>IF(COUNT('女子申込'!$M$13:$M$24)&gt;2,Menu!$C$8,"")</f>
      </c>
      <c r="D39" s="78">
        <f>_xlfn.IFERROR(VLOOKUP(B39,'女子申込'!$C$13:$H$24,5,FALSE)&amp;"　"&amp;VLOOKUP(B39,'女子申込'!$C$13:$H$24,6,FALSE),"")</f>
      </c>
      <c r="E39" s="60"/>
      <c r="F39" s="82">
        <v>3</v>
      </c>
      <c r="G39" s="83">
        <f>IF(COUNT('女子申込'!$L$13:$L$24)&gt;4,Menu!$C$8,"")</f>
      </c>
      <c r="H39" s="78">
        <f>_xlfn.IFERROR(VLOOKUP(L39,'女子申込'!$B$13:$H$24,6,FALSE)&amp;"・"&amp;VLOOKUP(M39,'女子申込'!$B$13:$H$24,6,FALSE),"")</f>
      </c>
      <c r="I39" s="84"/>
      <c r="J39" s="60"/>
      <c r="K39" s="60"/>
      <c r="L39" s="60">
        <v>5</v>
      </c>
      <c r="M39" s="60">
        <v>6</v>
      </c>
      <c r="N39" s="60"/>
      <c r="O39" s="60"/>
      <c r="P39" s="60"/>
      <c r="Q39" s="60"/>
      <c r="R39" s="60"/>
      <c r="S39" s="60"/>
    </row>
    <row r="40" spans="1:19" ht="24.75" customHeight="1">
      <c r="A40" s="60"/>
      <c r="B40" s="82">
        <v>4</v>
      </c>
      <c r="C40" s="83">
        <f>IF(COUNT('女子申込'!$M$13:$M$24)&gt;3,Menu!$C$8,"")</f>
      </c>
      <c r="D40" s="78">
        <f>_xlfn.IFERROR(VLOOKUP(B40,'女子申込'!$C$13:$H$24,5,FALSE)&amp;"　"&amp;VLOOKUP(B40,'女子申込'!$C$13:$H$24,6,FALSE),"")</f>
      </c>
      <c r="E40" s="60"/>
      <c r="F40" s="82">
        <v>4</v>
      </c>
      <c r="G40" s="83">
        <f>IF(COUNT('女子申込'!$L$13:$L$24)&gt;6,Menu!$C$8,"")</f>
      </c>
      <c r="H40" s="78">
        <f>_xlfn.IFERROR(VLOOKUP(L40,'女子申込'!$B$13:$H$24,6,FALSE)&amp;"・"&amp;VLOOKUP(M40,'女子申込'!$B$13:$H$24,6,FALSE),"")</f>
      </c>
      <c r="I40" s="84"/>
      <c r="J40" s="60"/>
      <c r="K40" s="60"/>
      <c r="L40" s="60">
        <v>7</v>
      </c>
      <c r="M40" s="60">
        <v>8</v>
      </c>
      <c r="N40" s="60"/>
      <c r="O40" s="60"/>
      <c r="P40" s="60"/>
      <c r="Q40" s="60"/>
      <c r="R40" s="60"/>
      <c r="S40" s="60"/>
    </row>
    <row r="41" spans="1:19" ht="24.75" customHeight="1">
      <c r="A41" s="60"/>
      <c r="B41" s="82">
        <v>5</v>
      </c>
      <c r="C41" s="83">
        <f>IF(COUNT('女子申込'!$M$13:$M$24)&gt;4,Menu!$C$8,"")</f>
      </c>
      <c r="D41" s="78">
        <f>_xlfn.IFERROR(VLOOKUP(B41,'女子申込'!$C$13:$H$24,5,FALSE)&amp;"　"&amp;VLOOKUP(B41,'女子申込'!$C$13:$H$24,6,FALSE),"")</f>
      </c>
      <c r="E41" s="60"/>
      <c r="F41" s="82"/>
      <c r="G41" s="83">
        <f>IF(COUNT('女子申込'!$L$13:$L$24)&gt;8,Menu!$C$8,"")</f>
      </c>
      <c r="H41" s="78">
        <f>_xlfn.IFERROR(VLOOKUP(L41,'女子申込'!$B$13:$H$24,6,FALSE)&amp;"・"&amp;VLOOKUP(M41,'女子申込'!$B$13:$H$24,6,FALSE),"")</f>
      </c>
      <c r="I41" s="84"/>
      <c r="J41" s="60"/>
      <c r="K41" s="60"/>
      <c r="L41" s="60">
        <v>9</v>
      </c>
      <c r="M41" s="60">
        <v>10</v>
      </c>
      <c r="N41" s="60"/>
      <c r="O41" s="60"/>
      <c r="P41" s="60"/>
      <c r="Q41" s="60"/>
      <c r="R41" s="60"/>
      <c r="S41" s="60"/>
    </row>
    <row r="42" spans="1:19" ht="24.75" customHeight="1">
      <c r="A42" s="60"/>
      <c r="B42" s="82">
        <v>6</v>
      </c>
      <c r="C42" s="83">
        <f>IF(COUNT('女子申込'!$M$13:$M$24)&gt;5,Menu!$C$8,"")</f>
      </c>
      <c r="D42" s="78">
        <f>_xlfn.IFERROR(VLOOKUP(B42,'女子申込'!$C$13:$H$24,5,FALSE)&amp;"　"&amp;VLOOKUP(B42,'女子申込'!$C$13:$H$24,6,FALSE),"")</f>
      </c>
      <c r="E42" s="60"/>
      <c r="F42" s="82"/>
      <c r="G42" s="83">
        <f>IF(COUNT('女子申込'!$L$13:$L$24)&gt;10,Menu!$C$8,"")</f>
      </c>
      <c r="H42" s="78">
        <f>_xlfn.IFERROR(VLOOKUP(L42,'女子申込'!$B$13:$H$24,6,FALSE)&amp;"・"&amp;VLOOKUP(M42,'女子申込'!$B$13:$H$24,6,FALSE),"")</f>
      </c>
      <c r="I42" s="84"/>
      <c r="J42" s="60"/>
      <c r="K42" s="60"/>
      <c r="L42" s="60">
        <v>11</v>
      </c>
      <c r="M42" s="60">
        <v>12</v>
      </c>
      <c r="N42" s="60"/>
      <c r="O42" s="60"/>
      <c r="P42" s="60"/>
      <c r="Q42" s="60"/>
      <c r="R42" s="60"/>
      <c r="S42" s="60"/>
    </row>
    <row r="43" spans="1:19" ht="24.75" customHeight="1">
      <c r="A43" s="60"/>
      <c r="B43" s="82">
        <v>7</v>
      </c>
      <c r="C43" s="83">
        <f>IF(COUNT('女子申込'!$M$13:$M$24)&gt;6,Menu!$C$8,"")</f>
      </c>
      <c r="D43" s="78">
        <f>_xlfn.IFERROR(VLOOKUP(B43,'女子申込'!$C$13:$H$24,5,FALSE)&amp;"　"&amp;VLOOKUP(B43,'女子申込'!$C$13:$H$24,6,FALSE),"")</f>
      </c>
      <c r="E43" s="60"/>
      <c r="F43" s="60"/>
      <c r="G43" s="85"/>
      <c r="H43" s="67"/>
      <c r="I43" s="67"/>
      <c r="J43" s="60"/>
      <c r="K43" s="60"/>
      <c r="L43" s="60"/>
      <c r="M43" s="60"/>
      <c r="N43" s="60"/>
      <c r="O43" s="60"/>
      <c r="P43" s="60"/>
      <c r="Q43" s="60"/>
      <c r="R43" s="60"/>
      <c r="S43" s="60"/>
    </row>
    <row r="44" spans="1:19" ht="24.75" customHeight="1">
      <c r="A44" s="60"/>
      <c r="B44" s="82">
        <v>8</v>
      </c>
      <c r="C44" s="83">
        <f>IF(COUNT('女子申込'!$M$13:$M$24)&gt;7,Menu!$C$8,"")</f>
      </c>
      <c r="D44" s="78">
        <f>_xlfn.IFERROR(VLOOKUP(B44,'女子申込'!$C$13:$H$24,5,FALSE)&amp;"　"&amp;VLOOKUP(B44,'女子申込'!$C$13:$H$24,6,FALSE),"")</f>
      </c>
      <c r="E44" s="60"/>
      <c r="F44" s="60"/>
      <c r="G44" s="85"/>
      <c r="H44" s="67"/>
      <c r="I44" s="67"/>
      <c r="J44" s="60"/>
      <c r="K44" s="60"/>
      <c r="L44" s="60"/>
      <c r="M44" s="60"/>
      <c r="N44" s="60"/>
      <c r="O44" s="60"/>
      <c r="P44" s="60"/>
      <c r="Q44" s="60"/>
      <c r="R44" s="60"/>
      <c r="S44" s="60"/>
    </row>
    <row r="45" spans="1:19" ht="24.75" customHeight="1">
      <c r="A45" s="60"/>
      <c r="B45" s="82"/>
      <c r="C45" s="83">
        <f>IF(COUNT('女子申込'!$M$13:$M$24)&gt;8,Menu!$C$8,"")</f>
      </c>
      <c r="D45" s="78">
        <f>_xlfn.IFERROR(VLOOKUP(B45,'女子申込'!$C$13:$H$24,5,FALSE)&amp;"　"&amp;VLOOKUP(B45,'女子申込'!$C$13:$H$24,6,FALSE),"")</f>
      </c>
      <c r="E45" s="60"/>
      <c r="F45" s="60"/>
      <c r="G45" s="60"/>
      <c r="H45" s="60"/>
      <c r="I45" s="60"/>
      <c r="J45" s="60"/>
      <c r="K45" s="60"/>
      <c r="L45" s="60"/>
      <c r="M45" s="60"/>
      <c r="N45" s="60"/>
      <c r="O45" s="60"/>
      <c r="P45" s="60"/>
      <c r="Q45" s="60"/>
      <c r="R45" s="60"/>
      <c r="S45" s="60"/>
    </row>
    <row r="46" spans="1:19" ht="24.75" customHeight="1">
      <c r="A46" s="60"/>
      <c r="B46" s="82"/>
      <c r="C46" s="83">
        <f>IF(COUNT('女子申込'!$M$13:$M$24)&gt;9,Menu!$C$8,"")</f>
      </c>
      <c r="D46" s="78">
        <f>_xlfn.IFERROR(VLOOKUP(B46,'女子申込'!$C$13:$H$24,5,FALSE)&amp;"　"&amp;VLOOKUP(B46,'女子申込'!$C$13:$H$24,6,FALSE),"")</f>
      </c>
      <c r="E46" s="60"/>
      <c r="F46" s="60"/>
      <c r="G46" s="60"/>
      <c r="H46" s="60"/>
      <c r="I46" s="60"/>
      <c r="J46" s="60"/>
      <c r="K46" s="60"/>
      <c r="L46" s="60"/>
      <c r="M46" s="60"/>
      <c r="N46" s="60"/>
      <c r="O46" s="60"/>
      <c r="P46" s="60"/>
      <c r="Q46" s="60"/>
      <c r="R46" s="60"/>
      <c r="S46" s="60"/>
    </row>
    <row r="47" spans="1:19" ht="24.75" customHeight="1">
      <c r="A47" s="60"/>
      <c r="B47" s="82"/>
      <c r="C47" s="83">
        <f>IF(COUNT('女子申込'!$M$13:$M$24)&gt;10,Menu!$C$8,"")</f>
      </c>
      <c r="D47" s="78">
        <f>_xlfn.IFERROR(VLOOKUP(B47,'女子申込'!$C$13:$H$24,5,FALSE)&amp;"　"&amp;VLOOKUP(B47,'女子申込'!$C$13:$H$24,6,FALSE),"")</f>
      </c>
      <c r="E47" s="60"/>
      <c r="F47" s="60"/>
      <c r="G47" s="60"/>
      <c r="H47" s="60"/>
      <c r="I47" s="60"/>
      <c r="J47" s="60"/>
      <c r="K47" s="60"/>
      <c r="L47" s="60"/>
      <c r="M47" s="60"/>
      <c r="N47" s="60"/>
      <c r="O47" s="60"/>
      <c r="P47" s="60"/>
      <c r="Q47" s="60"/>
      <c r="R47" s="60"/>
      <c r="S47" s="60"/>
    </row>
    <row r="48" spans="1:19" ht="24.75" customHeight="1">
      <c r="A48" s="60"/>
      <c r="B48" s="82"/>
      <c r="C48" s="83">
        <f>IF(COUNT('女子申込'!$M$13:$M$24)&gt;11,Menu!$C$8,"")</f>
      </c>
      <c r="D48" s="78">
        <f>_xlfn.IFERROR(VLOOKUP(B48,'女子申込'!$C$13:$H$24,5,FALSE)&amp;"　"&amp;VLOOKUP(B48,'女子申込'!$C$13:$H$24,6,FALSE),"")</f>
      </c>
      <c r="E48" s="60"/>
      <c r="F48" s="60"/>
      <c r="G48" s="60"/>
      <c r="H48" s="60"/>
      <c r="I48" s="60"/>
      <c r="J48" s="60"/>
      <c r="K48" s="60"/>
      <c r="L48" s="60"/>
      <c r="M48" s="60"/>
      <c r="N48" s="60"/>
      <c r="O48" s="60"/>
      <c r="P48" s="60"/>
      <c r="Q48" s="60"/>
      <c r="R48" s="60"/>
      <c r="S48" s="60"/>
    </row>
    <row r="49" spans="1:19" ht="24.75" customHeight="1">
      <c r="A49" s="60"/>
      <c r="B49" s="60"/>
      <c r="C49" s="60"/>
      <c r="D49" s="60"/>
      <c r="E49" s="60"/>
      <c r="F49" s="60"/>
      <c r="G49" s="60"/>
      <c r="H49" s="60"/>
      <c r="I49" s="60"/>
      <c r="J49" s="60"/>
      <c r="K49" s="60"/>
      <c r="L49" s="60"/>
      <c r="M49" s="60"/>
      <c r="N49" s="60"/>
      <c r="O49" s="60"/>
      <c r="P49" s="60"/>
      <c r="Q49" s="60"/>
      <c r="R49" s="60"/>
      <c r="S49" s="60"/>
    </row>
    <row r="50" ht="24.75" customHeight="1"/>
    <row r="51" ht="24.75" customHeight="1"/>
    <row r="52" ht="24.75" customHeight="1"/>
    <row r="53" ht="24.75" customHeight="1"/>
    <row r="54" ht="24.75" customHeight="1"/>
    <row r="59" spans="3:11" ht="12" hidden="1">
      <c r="C59" s="62">
        <v>1</v>
      </c>
      <c r="D59" s="62">
        <v>2</v>
      </c>
      <c r="E59" s="62">
        <v>3</v>
      </c>
      <c r="F59" s="62">
        <v>4</v>
      </c>
      <c r="G59" s="62">
        <v>5</v>
      </c>
      <c r="H59" s="62">
        <v>6</v>
      </c>
      <c r="I59" s="62">
        <v>7</v>
      </c>
      <c r="J59" s="62">
        <v>8</v>
      </c>
      <c r="K59" s="62">
        <v>9</v>
      </c>
    </row>
  </sheetData>
  <sheetProtection/>
  <mergeCells count="4">
    <mergeCell ref="B3:K10"/>
    <mergeCell ref="B16:B17"/>
    <mergeCell ref="C16:C17"/>
    <mergeCell ref="D16:E17"/>
  </mergeCells>
  <hyperlinks>
    <hyperlink ref="D12" r:id="rId1" display="mk-tennis@miyazaki-c.ed.jp"/>
  </hyperlinks>
  <printOptions/>
  <pageMargins left="0.7" right="0.7" top="0.75" bottom="0.75" header="0.3" footer="0.3"/>
  <pageSetup horizontalDpi="600" verticalDpi="600" orientation="portrait" paperSize="9" scale="73" r:id="rId3"/>
  <drawing r:id="rId2"/>
</worksheet>
</file>

<file path=xl/worksheets/sheet6.xml><?xml version="1.0" encoding="utf-8"?>
<worksheet xmlns="http://schemas.openxmlformats.org/spreadsheetml/2006/main" xmlns:r="http://schemas.openxmlformats.org/officeDocument/2006/relationships">
  <dimension ref="B1:R29"/>
  <sheetViews>
    <sheetView zoomScalePageLayoutView="0" workbookViewId="0" topLeftCell="A1">
      <selection activeCell="C16" sqref="C16"/>
    </sheetView>
  </sheetViews>
  <sheetFormatPr defaultColWidth="9.00390625" defaultRowHeight="13.5"/>
  <cols>
    <col min="1" max="1" width="1.625" style="0" customWidth="1"/>
    <col min="2" max="2" width="7.125" style="0" bestFit="1" customWidth="1"/>
    <col min="3" max="3" width="12.875" style="0" customWidth="1"/>
    <col min="4" max="4" width="3.75390625" style="0" bestFit="1" customWidth="1"/>
    <col min="5" max="5" width="3.625" style="0" customWidth="1"/>
    <col min="6" max="6" width="3.25390625" style="0" customWidth="1"/>
    <col min="7" max="9" width="12.875" style="0" customWidth="1"/>
    <col min="10" max="10" width="3.625" style="0" customWidth="1"/>
    <col min="12" max="12" width="12.875" style="0" customWidth="1"/>
    <col min="13" max="13" width="3.75390625" style="0" bestFit="1" customWidth="1"/>
    <col min="14" max="14" width="2.875" style="0" customWidth="1"/>
    <col min="15" max="15" width="3.50390625" style="0" bestFit="1" customWidth="1"/>
    <col min="16" max="18" width="12.875" style="0" customWidth="1"/>
  </cols>
  <sheetData>
    <row r="1" spans="2:9" ht="14.25" thickBot="1">
      <c r="B1" s="1"/>
      <c r="C1" s="1"/>
      <c r="D1" s="1"/>
      <c r="E1" s="1"/>
      <c r="F1" s="1"/>
      <c r="G1" s="1"/>
      <c r="H1" s="1"/>
      <c r="I1" s="1"/>
    </row>
    <row r="2" spans="2:18" ht="13.5">
      <c r="B2" s="173" t="s">
        <v>7</v>
      </c>
      <c r="C2" s="174"/>
      <c r="D2" s="175"/>
      <c r="E2" s="1"/>
      <c r="F2" s="170" t="s">
        <v>8</v>
      </c>
      <c r="G2" s="171"/>
      <c r="H2" s="171"/>
      <c r="I2" s="172"/>
      <c r="K2" s="176" t="s">
        <v>7</v>
      </c>
      <c r="L2" s="177"/>
      <c r="M2" s="178"/>
      <c r="N2" s="1"/>
      <c r="O2" s="164" t="s">
        <v>8</v>
      </c>
      <c r="P2" s="165"/>
      <c r="Q2" s="165"/>
      <c r="R2" s="166"/>
    </row>
    <row r="3" spans="2:18" ht="13.5">
      <c r="B3" s="2" t="s">
        <v>11</v>
      </c>
      <c r="C3" s="3" t="str">
        <f>Menu!C8</f>
        <v>○○</v>
      </c>
      <c r="D3" s="4"/>
      <c r="E3" s="1"/>
      <c r="F3" s="2">
        <v>1</v>
      </c>
      <c r="G3" s="5">
        <f aca="true" t="shared" si="0" ref="G3:G10">IF(H3="","",$C$3)</f>
      </c>
      <c r="H3" s="5">
        <f>IF(ISNA(VLOOKUP($F14,'男子申込'!$B$13:$H$24,6,"false")),"",VLOOKUP(F14,'男子申込'!$B$13:$H$24,6,"false"))</f>
      </c>
      <c r="I3" s="6">
        <f>IF(ISNA(VLOOKUP($F15,'男子申込'!$B$13:$H$24,6,"false")),"",VLOOKUP(F15,'男子申込'!$B$13:$H$24,6,"false"))</f>
      </c>
      <c r="K3" s="2" t="s">
        <v>11</v>
      </c>
      <c r="L3" s="3" t="str">
        <f>Menu!C8</f>
        <v>○○</v>
      </c>
      <c r="M3" s="4"/>
      <c r="N3" s="1"/>
      <c r="O3" s="2">
        <v>1</v>
      </c>
      <c r="P3" s="5">
        <f aca="true" t="shared" si="1" ref="P3:P10">IF(Q3="","",$C$3)</f>
      </c>
      <c r="Q3" s="5">
        <f>IF(ISNA(VLOOKUP($F14,'女子申込'!$B$13:$G$24,6,"false")),"",VLOOKUP(O14,'女子申込'!$B$13:$G$24,6,"false"))</f>
      </c>
      <c r="R3" s="6">
        <f>IF(ISNA(VLOOKUP($F15,'女子申込'!$B$13:$G$24,6,"false")),"",VLOOKUP(O15,'女子申込'!$B$13:$G$24,6,"false"))</f>
      </c>
    </row>
    <row r="4" spans="2:18" ht="13.5">
      <c r="B4" s="2" t="s">
        <v>10</v>
      </c>
      <c r="C4" s="3" t="str">
        <f>'男子申込'!G12</f>
        <v>○○　○○</v>
      </c>
      <c r="D4" s="4"/>
      <c r="E4" s="1"/>
      <c r="F4" s="2">
        <v>2</v>
      </c>
      <c r="G4" s="5">
        <f t="shared" si="0"/>
      </c>
      <c r="H4" s="5">
        <f>IF(ISNA(VLOOKUP($F16,'男子申込'!$B$13:$H$24,6,"false")),"",VLOOKUP(F16,'男子申込'!$B$13:$H$24,6,"false"))</f>
      </c>
      <c r="I4" s="6">
        <f>IF(ISNA(VLOOKUP($F17,'男子申込'!$B$13:$H$24,6,"false")),"",VLOOKUP(F17,'男子申込'!$B$13:$H$24,6,"false"))</f>
      </c>
      <c r="K4" s="2" t="s">
        <v>10</v>
      </c>
      <c r="L4" s="3" t="str">
        <f>'女子申込'!G12</f>
        <v>○○　○○</v>
      </c>
      <c r="M4" s="4"/>
      <c r="N4" s="1"/>
      <c r="O4" s="2">
        <v>2</v>
      </c>
      <c r="P4" s="5">
        <f t="shared" si="1"/>
      </c>
      <c r="Q4" s="5">
        <f>IF(ISNA(VLOOKUP($F16,'女子申込'!$B$13:$G$24,6,"false")),"",VLOOKUP(O16,'女子申込'!$B$13:$G$24,6,"false"))</f>
      </c>
      <c r="R4" s="6">
        <f>IF(ISNA(VLOOKUP($F17,'女子申込'!$B$13:$G$24,6,"false")),"",VLOOKUP(O17,'女子申込'!$B$13:$G$24,6,"false"))</f>
      </c>
    </row>
    <row r="5" spans="2:18" ht="13.5">
      <c r="B5" s="7">
        <v>1</v>
      </c>
      <c r="C5" s="8">
        <f>IF(ISNA(VLOOKUP($B5,'男子申込'!$A$13:$H$24,7,"false")),"",VLOOKUP(B5,'男子申込'!$A$13:$H$24,7,"false"))</f>
      </c>
      <c r="D5" s="9">
        <f>IF(ISNA(VLOOKUP($B5,'男子申込'!$A$13:$J$24,8,"false")),"","("&amp;VLOOKUP(B5,'男子申込'!$A$13:$J$24,9,"false")&amp;")")</f>
      </c>
      <c r="E5" s="1"/>
      <c r="F5" s="2">
        <v>3</v>
      </c>
      <c r="G5" s="5">
        <f t="shared" si="0"/>
      </c>
      <c r="H5" s="5">
        <f>IF(ISNA(VLOOKUP($F18,'男子申込'!$B$13:$H$24,6,"false")),"",VLOOKUP(F18,'男子申込'!$B$13:$H$24,6,"false"))</f>
      </c>
      <c r="I5" s="6">
        <f>IF(ISNA(VLOOKUP($F19,'男子申込'!$B$13:$H$24,6,"false")),"",VLOOKUP(F19,'男子申込'!$B$13:$H$24,6,"false"))</f>
      </c>
      <c r="K5" s="7">
        <v>1</v>
      </c>
      <c r="L5" s="8">
        <f>IF(ISNA(VLOOKUP($B5,'女子申込'!$A$13:$G$24,7,"false")),"",VLOOKUP(K5,'女子申込'!$A$13:$G$24,7,"false"))</f>
      </c>
      <c r="M5" s="9">
        <f>IF(ISNA(VLOOKUP($B5,'女子申込'!$A$13:$I$24,8,"false")),"","("&amp;VLOOKUP(K5,'女子申込'!$A$13:$I$24,9,"false")&amp;")")</f>
      </c>
      <c r="N5" s="1"/>
      <c r="O5" s="2">
        <v>3</v>
      </c>
      <c r="P5" s="5">
        <f t="shared" si="1"/>
      </c>
      <c r="Q5" s="5">
        <f>IF(ISNA(VLOOKUP($F18,'女子申込'!$B$13:$G$24,6,"false")),"",VLOOKUP(O18,'女子申込'!$B$13:$G$24,6,"false"))</f>
      </c>
      <c r="R5" s="6">
        <f>IF(ISNA(VLOOKUP($F19,'女子申込'!$B$13:$G$24,6,"false")),"",VLOOKUP(O19,'女子申込'!$B$13:$G$24,6,"false"))</f>
      </c>
    </row>
    <row r="6" spans="2:18" ht="14.25" thickBot="1">
      <c r="B6" s="2">
        <v>2</v>
      </c>
      <c r="C6" s="5">
        <f>IF(ISNA(VLOOKUP($B6,'男子申込'!$A$13:$H$24,7,"false")),"",VLOOKUP(B6,'男子申込'!$A$13:$H$24,7,"false"))</f>
      </c>
      <c r="D6" s="6">
        <f>IF(ISNA(VLOOKUP($B6,'男子申込'!$A$13:$J$24,8,"false")),"","("&amp;VLOOKUP(B6,'男子申込'!$A$13:$J$24,9,"false")&amp;")")</f>
      </c>
      <c r="E6" s="1"/>
      <c r="F6" s="10">
        <v>4</v>
      </c>
      <c r="G6" s="11">
        <f t="shared" si="0"/>
      </c>
      <c r="H6" s="11">
        <f>IF(ISNA(VLOOKUP($F20,'男子申込'!$B$13:$H$24,6,"false")),"",VLOOKUP(F20,'男子申込'!$B$13:$H$24,6,"false"))</f>
      </c>
      <c r="I6" s="12">
        <f>IF(ISNA(VLOOKUP($F21,'男子申込'!$B$13:$H$24,6,"false")),"",VLOOKUP(F21,'男子申込'!$B$13:$H$24,6,"false"))</f>
      </c>
      <c r="K6" s="2">
        <v>2</v>
      </c>
      <c r="L6" s="5">
        <f>IF(ISNA(VLOOKUP($B6,'女子申込'!$A$13:$G$24,7,"false")),"",VLOOKUP(K6,'女子申込'!$A$13:$G$24,7,"false"))</f>
      </c>
      <c r="M6" s="6">
        <f>IF(ISNA(VLOOKUP($B6,'女子申込'!$A$13:$I$24,8,"false")),"","("&amp;VLOOKUP(K6,'女子申込'!$A$13:$I$24,9,"false")&amp;")")</f>
      </c>
      <c r="N6" s="1"/>
      <c r="O6" s="10">
        <v>4</v>
      </c>
      <c r="P6" s="11">
        <f t="shared" si="1"/>
      </c>
      <c r="Q6" s="11">
        <f>IF(ISNA(VLOOKUP($F20,'女子申込'!$B$13:$G$24,6,"false")),"",VLOOKUP(O20,'女子申込'!$B$13:$G$24,6,"false"))</f>
      </c>
      <c r="R6" s="12">
        <f>IF(ISNA(VLOOKUP($F21,'女子申込'!$B$13:$G$24,6,"false")),"",VLOOKUP(O21,'女子申込'!$B$13:$G$24,6,"false"))</f>
      </c>
    </row>
    <row r="7" spans="2:18" ht="13.5">
      <c r="B7" s="2">
        <v>3</v>
      </c>
      <c r="C7" s="5">
        <f>IF(ISNA(VLOOKUP($B7,'男子申込'!$A$13:$H$24,7,"false")),"",VLOOKUP(B7,'男子申込'!$A$13:$H$24,7,"false"))</f>
      </c>
      <c r="D7" s="6">
        <f>IF(ISNA(VLOOKUP($B7,'男子申込'!$A$13:$J$24,8,"false")),"","("&amp;VLOOKUP(B7,'男子申込'!$A$13:$J$24,9,"false")&amp;")")</f>
      </c>
      <c r="E7" s="1"/>
      <c r="F7" s="2">
        <v>5</v>
      </c>
      <c r="G7" s="5">
        <f t="shared" si="0"/>
      </c>
      <c r="H7" s="5">
        <f>IF(ISNA(VLOOKUP($F22,'男子申込'!$B$13:$H$24,6,"false")),"",VLOOKUP(F22,'男子申込'!$B$13:$H$24,6,"false"))</f>
      </c>
      <c r="I7" s="6">
        <f>IF(ISNA(VLOOKUP($F23,'男子申込'!$B$13:$H$24,6,"false")),"",VLOOKUP(F23,'男子申込'!$B$13:$H$24,6,"false"))</f>
      </c>
      <c r="K7" s="2">
        <v>3</v>
      </c>
      <c r="L7" s="5">
        <f>IF(ISNA(VLOOKUP($B7,'女子申込'!$A$13:$G$24,7,"false")),"",VLOOKUP(K7,'女子申込'!$A$13:$G$24,7,"false"))</f>
      </c>
      <c r="M7" s="6">
        <f>IF(ISNA(VLOOKUP($B7,'女子申込'!$A$13:$I$24,8,"false")),"","("&amp;VLOOKUP(K7,'女子申込'!$A$13:$I$24,9,"false")&amp;")")</f>
      </c>
      <c r="N7" s="1"/>
      <c r="O7" s="2">
        <v>5</v>
      </c>
      <c r="P7" s="5">
        <f t="shared" si="1"/>
      </c>
      <c r="Q7" s="5">
        <f>IF(ISNA(VLOOKUP($F22,'女子申込'!$B$13:$G$24,6,"false")),"",VLOOKUP(O22,'女子申込'!$B$13:$G$24,6,"false"))</f>
      </c>
      <c r="R7" s="6">
        <f>IF(ISNA(VLOOKUP($F23,'女子申込'!$B$13:$G$24,6,"false")),"",VLOOKUP(O23,'女子申込'!$B$13:$G$24,6,"false"))</f>
      </c>
    </row>
    <row r="8" spans="2:18" ht="13.5">
      <c r="B8" s="2">
        <v>4</v>
      </c>
      <c r="C8" s="5">
        <f>IF(ISNA(VLOOKUP($B8,'男子申込'!$A$13:$H$24,7,"false")),"",VLOOKUP(B8,'男子申込'!$A$13:$H$24,7,"false"))</f>
      </c>
      <c r="D8" s="6">
        <f>IF(ISNA(VLOOKUP($B8,'男子申込'!$A$13:$J$24,8,"false")),"","("&amp;VLOOKUP(B8,'男子申込'!$A$13:$J$24,9,"false")&amp;")")</f>
      </c>
      <c r="E8" s="1"/>
      <c r="F8" s="2">
        <v>6</v>
      </c>
      <c r="G8" s="5">
        <f t="shared" si="0"/>
      </c>
      <c r="H8" s="5">
        <f>IF(ISNA(VLOOKUP($F24,'男子申込'!$B$13:$H$24,6,"false")),"",VLOOKUP(F24,'男子申込'!$B$13:$H$24,6,"false"))</f>
      </c>
      <c r="I8" s="6">
        <f>IF(ISNA(VLOOKUP($F25,'男子申込'!$B$13:$H$24,6,"false")),"",VLOOKUP(F25,'男子申込'!$B$13:$H$24,6,"false"))</f>
      </c>
      <c r="K8" s="2">
        <v>4</v>
      </c>
      <c r="L8" s="5">
        <f>IF(ISNA(VLOOKUP($B8,'女子申込'!$A$13:$G$24,7,"false")),"",VLOOKUP(K8,'女子申込'!$A$13:$G$24,7,"false"))</f>
      </c>
      <c r="M8" s="6">
        <f>IF(ISNA(VLOOKUP($B8,'女子申込'!$A$13:$I$24,8,"false")),"","("&amp;VLOOKUP(K8,'女子申込'!$A$13:$I$24,9,"false")&amp;")")</f>
      </c>
      <c r="N8" s="1"/>
      <c r="O8" s="2">
        <v>6</v>
      </c>
      <c r="P8" s="5">
        <f t="shared" si="1"/>
      </c>
      <c r="Q8" s="5">
        <f>IF(ISNA(VLOOKUP($F24,'女子申込'!$B$13:$G$24,6,"false")),"",VLOOKUP(O24,'女子申込'!$B$13:$G$24,6,"false"))</f>
      </c>
      <c r="R8" s="6">
        <f>IF(ISNA(VLOOKUP($F25,'女子申込'!$B$13:$G$24,6,"false")),"",VLOOKUP(O25,'女子申込'!$B$13:$G$24,6,"false"))</f>
      </c>
    </row>
    <row r="9" spans="2:18" ht="13.5">
      <c r="B9" s="2">
        <v>5</v>
      </c>
      <c r="C9" s="5">
        <f>IF(ISNA(VLOOKUP($B9,'男子申込'!$A$13:$H$24,7,"false")),"",VLOOKUP(B9,'男子申込'!$A$13:$H$24,7,"false"))</f>
      </c>
      <c r="D9" s="6">
        <f>IF(ISNA(VLOOKUP($B9,'男子申込'!$A$13:$J$24,8,"false")),"","("&amp;VLOOKUP(B9,'男子申込'!$A$13:$J$24,9,"false")&amp;")")</f>
      </c>
      <c r="E9" s="1"/>
      <c r="F9" s="2">
        <v>7</v>
      </c>
      <c r="G9" s="5">
        <f t="shared" si="0"/>
      </c>
      <c r="H9" s="5">
        <f>IF(ISNA(VLOOKUP($F26,'男子申込'!$B$13:$H$24,6,"false")),"",VLOOKUP(F26,'男子申込'!$B$13:$H$24,6,"false"))</f>
      </c>
      <c r="I9" s="6">
        <f>IF(ISNA(VLOOKUP($F27,'男子申込'!$B$13:$H$24,6,"false")),"",VLOOKUP(F27,'男子申込'!$B$13:$H$24,6,"false"))</f>
      </c>
      <c r="K9" s="2">
        <v>5</v>
      </c>
      <c r="L9" s="5">
        <f>IF(ISNA(VLOOKUP($B9,'女子申込'!$A$13:$G$24,7,"false")),"",VLOOKUP(K9,'女子申込'!$A$13:$G$24,7,"false"))</f>
      </c>
      <c r="M9" s="6">
        <f>IF(ISNA(VLOOKUP($B9,'女子申込'!$A$13:$I$24,8,"false")),"","("&amp;VLOOKUP(K9,'女子申込'!$A$13:$I$24,9,"false")&amp;")")</f>
      </c>
      <c r="N9" s="1"/>
      <c r="O9" s="2">
        <v>7</v>
      </c>
      <c r="P9" s="5">
        <f t="shared" si="1"/>
      </c>
      <c r="Q9" s="5">
        <f>IF(ISNA(VLOOKUP($F26,'女子申込'!$B$13:$G$24,6,"false")),"",VLOOKUP(O26,'女子申込'!$B$13:$G$24,6,"false"))</f>
      </c>
      <c r="R9" s="6">
        <f>IF(ISNA(VLOOKUP($F27,'女子申込'!$B$13:$G$24,6,"false")),"",VLOOKUP(O27,'女子申込'!$B$13:$G$24,6,"false"))</f>
      </c>
    </row>
    <row r="10" spans="2:18" ht="14.25" thickBot="1">
      <c r="B10" s="2">
        <v>6</v>
      </c>
      <c r="C10" s="5">
        <f>IF(ISNA(VLOOKUP($B10,'男子申込'!$A$13:$H$24,7,"false")),"",VLOOKUP(B10,'男子申込'!$A$13:$H$24,7,"false"))</f>
      </c>
      <c r="D10" s="6">
        <f>IF(ISNA(VLOOKUP($B10,'男子申込'!$A$13:$J$24,8,"false")),"","("&amp;VLOOKUP(B10,'男子申込'!$A$13:$J$24,9,"false")&amp;")")</f>
      </c>
      <c r="E10" s="1"/>
      <c r="F10" s="10">
        <v>8</v>
      </c>
      <c r="G10" s="11">
        <f t="shared" si="0"/>
      </c>
      <c r="H10" s="11">
        <f>IF(ISNA(VLOOKUP($F28,'男子申込'!$B$13:$H$24,6,"false")),"",VLOOKUP(F28,'男子申込'!$B$13:$H$24,6,"false"))</f>
      </c>
      <c r="I10" s="12">
        <f>IF(ISNA(VLOOKUP($F29,'男子申込'!$B$13:$H$24,6,"false")),"",VLOOKUP(F29,'男子申込'!$B$13:$H$24,6,"false"))</f>
      </c>
      <c r="K10" s="2">
        <v>6</v>
      </c>
      <c r="L10" s="5">
        <f>IF(ISNA(VLOOKUP($B10,'女子申込'!$A$13:$G$24,7,"false")),"",VLOOKUP(K10,'女子申込'!$A$13:$G$24,7,"false"))</f>
      </c>
      <c r="M10" s="6">
        <f>IF(ISNA(VLOOKUP($B10,'女子申込'!$A$13:$I$24,8,"false")),"","("&amp;VLOOKUP(K10,'女子申込'!$A$13:$I$24,9,"false")&amp;")")</f>
      </c>
      <c r="N10" s="1"/>
      <c r="O10" s="10">
        <v>8</v>
      </c>
      <c r="P10" s="11">
        <f t="shared" si="1"/>
      </c>
      <c r="Q10" s="11">
        <f>IF(ISNA(VLOOKUP($F28,'女子申込'!$B$13:$G$24,6,"false")),"",VLOOKUP(O28,'女子申込'!$B$13:$G$24,6,"false"))</f>
      </c>
      <c r="R10" s="12">
        <f>IF(ISNA(VLOOKUP($F29,'女子申込'!$B$13:$G$24,6,"false")),"",VLOOKUP(O29,'女子申込'!$B$13:$G$24,6,"false"))</f>
      </c>
    </row>
    <row r="11" spans="2:14" ht="13.5">
      <c r="B11" s="2">
        <v>7</v>
      </c>
      <c r="C11" s="5">
        <f>IF(ISNA(VLOOKUP($B11,'男子申込'!$A$13:$H$24,7,"false")),"",VLOOKUP(B11,'男子申込'!$A$13:$H$24,7,"false"))</f>
      </c>
      <c r="D11" s="6">
        <f>IF(ISNA(VLOOKUP($B11,'男子申込'!$A$13:$J$24,8,"false")),"","("&amp;VLOOKUP(B11,'男子申込'!$A$13:$J$24,9,"false")&amp;")")</f>
      </c>
      <c r="E11" s="1"/>
      <c r="K11" s="2">
        <v>7</v>
      </c>
      <c r="L11" s="5">
        <f>IF(ISNA(VLOOKUP($B11,'女子申込'!$A$13:$G$24,7,"false")),"",VLOOKUP(K11,'女子申込'!$A$13:$G$24,7,"false"))</f>
      </c>
      <c r="M11" s="6">
        <f>IF(ISNA(VLOOKUP($B11,'女子申込'!$A$13:$I$24,8,"false")),"","("&amp;VLOOKUP(K11,'女子申込'!$A$13:$I$24,9,"false")&amp;")")</f>
      </c>
      <c r="N11" s="1"/>
    </row>
    <row r="12" spans="2:14" ht="14.25" thickBot="1">
      <c r="B12" s="10">
        <v>8</v>
      </c>
      <c r="C12" s="11">
        <f>IF(ISNA(VLOOKUP($B12,'男子申込'!$A$13:$H$24,7,"false")),"",VLOOKUP(B12,'男子申込'!$A$13:$H$24,7,"false"))</f>
      </c>
      <c r="D12" s="12">
        <f>IF(ISNA(VLOOKUP($B12,'男子申込'!$A$13:$J$24,8,"false")),"","("&amp;VLOOKUP(B12,'男子申込'!$A$13:$J$24,9,"false")&amp;")")</f>
      </c>
      <c r="E12" s="1"/>
      <c r="K12" s="10">
        <v>8</v>
      </c>
      <c r="L12" s="11">
        <f>IF(ISNA(VLOOKUP($B12,'女子申込'!$A$13:$G$24,7,"false")),"",VLOOKUP(K12,'女子申込'!$A$13:$G$24,7,"false"))</f>
      </c>
      <c r="M12" s="12">
        <f>IF(ISNA(VLOOKUP($B12,'女子申込'!$A$13:$I$24,8,"false")),"","("&amp;VLOOKUP(K12,'女子申込'!$A$13:$I$24,9,"false")&amp;")")</f>
      </c>
      <c r="N12" s="1"/>
    </row>
    <row r="13" spans="2:18" ht="13.5">
      <c r="B13" s="1"/>
      <c r="C13" s="1"/>
      <c r="D13" s="1"/>
      <c r="E13" s="1"/>
      <c r="F13" s="167" t="s">
        <v>9</v>
      </c>
      <c r="G13" s="168"/>
      <c r="H13" s="168"/>
      <c r="I13" s="169"/>
      <c r="K13" s="1"/>
      <c r="L13" s="1"/>
      <c r="M13" s="1"/>
      <c r="N13" s="1"/>
      <c r="O13" s="164" t="s">
        <v>9</v>
      </c>
      <c r="P13" s="165"/>
      <c r="Q13" s="165"/>
      <c r="R13" s="166"/>
    </row>
    <row r="14" spans="2:18" ht="13.5">
      <c r="B14" s="1"/>
      <c r="C14" s="1"/>
      <c r="D14" s="1"/>
      <c r="E14" s="1"/>
      <c r="F14" s="2">
        <v>1</v>
      </c>
      <c r="G14" s="5">
        <f>IF(H14="","",$C$3)</f>
      </c>
      <c r="H14" s="5">
        <f>IF(ISNA(VLOOKUP($F14,'男子申込'!$C$13:$H$24,5,"false")),"",VLOOKUP(F14,'男子申込'!$C$13:$H$24,5,"false"))</f>
      </c>
      <c r="I14" s="46">
        <f>IF(ISNA(VLOOKUP($F14,'男子申込'!$C$13:$K$24,7,"false")),"",VLOOKUP(F14,'男子申込'!$C$13:$K$24,7,"false"))</f>
      </c>
      <c r="K14" s="1"/>
      <c r="L14" s="1"/>
      <c r="M14" s="1"/>
      <c r="N14" s="1"/>
      <c r="O14" s="2">
        <v>1</v>
      </c>
      <c r="P14" s="5">
        <f>IF(Q14="","",$C$3)</f>
      </c>
      <c r="Q14" s="5">
        <f>IF(ISNA(VLOOKUP($F14,'女子申込'!$C$13:$G$24,5,"false")),"",VLOOKUP(O14,'女子申込'!$C$13:$G$24,5,"false"))</f>
      </c>
      <c r="R14" s="46">
        <f>IF(ISNA(VLOOKUP($F14,'女子申込'!$C$13:$J$24,7,"false")),"",VLOOKUP(O14,'女子申込'!$C$13:$J$24,7,"false"))</f>
      </c>
    </row>
    <row r="15" spans="2:18" ht="13.5">
      <c r="B15" s="1"/>
      <c r="C15" s="1"/>
      <c r="D15" s="1"/>
      <c r="E15" s="1"/>
      <c r="F15" s="2">
        <v>2</v>
      </c>
      <c r="G15" s="5">
        <f aca="true" t="shared" si="2" ref="G15:G29">IF(H15="","",$C$3)</f>
      </c>
      <c r="H15" s="5">
        <f>IF(ISNA(VLOOKUP($F15,'男子申込'!$C$13:$H$24,5,"false")),"",VLOOKUP(F15,'男子申込'!$C$13:$H$24,5,"false"))</f>
      </c>
      <c r="I15" s="46">
        <f>IF(ISNA(VLOOKUP($F15,'男子申込'!$C$13:$K$24,7,"false")),"",VLOOKUP(F15,'男子申込'!$C$13:$K$24,7,"false"))</f>
      </c>
      <c r="K15" s="1"/>
      <c r="L15" s="1"/>
      <c r="M15" s="1"/>
      <c r="N15" s="1"/>
      <c r="O15" s="2">
        <v>2</v>
      </c>
      <c r="P15" s="5">
        <f aca="true" t="shared" si="3" ref="P15:P29">IF(Q15="","",$C$3)</f>
      </c>
      <c r="Q15" s="5">
        <f>IF(ISNA(VLOOKUP($F15,'女子申込'!$C$13:$G$24,5,"false")),"",VLOOKUP(O15,'女子申込'!$C$13:$G$24,5,"false"))</f>
      </c>
      <c r="R15" s="46">
        <f>IF(ISNA(VLOOKUP($F15,'女子申込'!$C$13:$J$24,7,"false")),"",VLOOKUP(O15,'女子申込'!$C$13:$J$24,7,"false"))</f>
      </c>
    </row>
    <row r="16" spans="2:18" ht="13.5">
      <c r="B16" s="1"/>
      <c r="C16" s="13" t="s">
        <v>17</v>
      </c>
      <c r="D16" s="1"/>
      <c r="E16" s="1"/>
      <c r="F16" s="2">
        <v>3</v>
      </c>
      <c r="G16" s="5">
        <f t="shared" si="2"/>
      </c>
      <c r="H16" s="5">
        <f>IF(ISNA(VLOOKUP($F16,'男子申込'!$C$13:$H$24,5,"false")),"",VLOOKUP(F16,'男子申込'!$C$13:$H$24,5,"false"))</f>
      </c>
      <c r="I16" s="46">
        <f>IF(ISNA(VLOOKUP($F16,'男子申込'!$C$13:$K$24,7,"false")),"",VLOOKUP(F16,'男子申込'!$C$13:$K$24,7,"false"))</f>
      </c>
      <c r="K16" s="1"/>
      <c r="L16" s="13" t="s">
        <v>17</v>
      </c>
      <c r="M16" s="1"/>
      <c r="N16" s="1"/>
      <c r="O16" s="2">
        <v>3</v>
      </c>
      <c r="P16" s="5">
        <f t="shared" si="3"/>
      </c>
      <c r="Q16" s="5">
        <f>IF(ISNA(VLOOKUP($F16,'女子申込'!$C$13:$G$24,5,"false")),"",VLOOKUP(O16,'女子申込'!$C$13:$G$24,5,"false"))</f>
      </c>
      <c r="R16" s="46">
        <f>IF(ISNA(VLOOKUP($F16,'女子申込'!$C$13:$J$24,7,"false")),"",VLOOKUP(O16,'女子申込'!$C$13:$J$24,7,"false"))</f>
      </c>
    </row>
    <row r="17" spans="2:18" ht="13.5">
      <c r="B17" s="1"/>
      <c r="C17" s="1"/>
      <c r="D17" s="1"/>
      <c r="E17" s="1"/>
      <c r="F17" s="2">
        <v>4</v>
      </c>
      <c r="G17" s="5">
        <f t="shared" si="2"/>
      </c>
      <c r="H17" s="5">
        <f>IF(ISNA(VLOOKUP($F17,'男子申込'!$C$13:$H$24,5,"false")),"",VLOOKUP(F17,'男子申込'!$C$13:$H$24,5,"false"))</f>
      </c>
      <c r="I17" s="46">
        <f>IF(ISNA(VLOOKUP($F17,'男子申込'!$C$13:$K$24,7,"false")),"",VLOOKUP(F17,'男子申込'!$C$13:$K$24,7,"false"))</f>
      </c>
      <c r="K17" s="1"/>
      <c r="L17" s="1"/>
      <c r="M17" s="1"/>
      <c r="N17" s="1"/>
      <c r="O17" s="2">
        <v>4</v>
      </c>
      <c r="P17" s="5">
        <f t="shared" si="3"/>
      </c>
      <c r="Q17" s="5">
        <f>IF(ISNA(VLOOKUP($F17,'女子申込'!$C$13:$G$24,5,"false")),"",VLOOKUP(O17,'女子申込'!$C$13:$G$24,5,"false"))</f>
      </c>
      <c r="R17" s="46">
        <f>IF(ISNA(VLOOKUP($F17,'女子申込'!$C$13:$J$24,7,"false")),"",VLOOKUP(O17,'女子申込'!$C$13:$J$24,7,"false"))</f>
      </c>
    </row>
    <row r="18" spans="6:18" ht="13.5">
      <c r="F18" s="2">
        <v>5</v>
      </c>
      <c r="G18" s="5">
        <f t="shared" si="2"/>
      </c>
      <c r="H18" s="5">
        <f>IF(ISNA(VLOOKUP($F18,'男子申込'!$C$13:$H$24,5,"false")),"",VLOOKUP(F18,'男子申込'!$C$13:$H$24,5,"false"))</f>
      </c>
      <c r="I18" s="46">
        <f>IF(ISNA(VLOOKUP($F18,'男子申込'!$C$13:$K$24,7,"false")),"",VLOOKUP(F18,'男子申込'!$C$13:$K$24,7,"false"))</f>
      </c>
      <c r="O18" s="2">
        <v>5</v>
      </c>
      <c r="P18" s="5">
        <f t="shared" si="3"/>
      </c>
      <c r="Q18" s="5">
        <f>IF(ISNA(VLOOKUP($F18,'女子申込'!$C$13:$G$24,5,"false")),"",VLOOKUP(O18,'女子申込'!$C$13:$G$24,5,"false"))</f>
      </c>
      <c r="R18" s="46">
        <f>IF(ISNA(VLOOKUP($F18,'女子申込'!$C$13:$J$24,7,"false")),"",VLOOKUP(O18,'女子申込'!$C$13:$J$24,7,"false"))</f>
      </c>
    </row>
    <row r="19" spans="6:18" ht="13.5">
      <c r="F19" s="2">
        <v>6</v>
      </c>
      <c r="G19" s="5">
        <f t="shared" si="2"/>
      </c>
      <c r="H19" s="5">
        <f>IF(ISNA(VLOOKUP($F19,'男子申込'!$C$13:$H$24,5,"false")),"",VLOOKUP(F19,'男子申込'!$C$13:$H$24,5,"false"))</f>
      </c>
      <c r="I19" s="46">
        <f>IF(ISNA(VLOOKUP($F19,'男子申込'!$C$13:$K$24,7,"false")),"",VLOOKUP(F19,'男子申込'!$C$13:$K$24,7,"false"))</f>
      </c>
      <c r="O19" s="2">
        <v>6</v>
      </c>
      <c r="P19" s="5">
        <f t="shared" si="3"/>
      </c>
      <c r="Q19" s="5">
        <f>IF(ISNA(VLOOKUP($F19,'女子申込'!$C$13:$G$24,5,"false")),"",VLOOKUP(O19,'女子申込'!$C$13:$G$24,5,"false"))</f>
      </c>
      <c r="R19" s="46">
        <f>IF(ISNA(VLOOKUP($F19,'女子申込'!$C$13:$J$24,7,"false")),"",VLOOKUP(O19,'女子申込'!$C$13:$J$24,7,"false"))</f>
      </c>
    </row>
    <row r="20" spans="6:18" ht="13.5">
      <c r="F20" s="2">
        <v>7</v>
      </c>
      <c r="G20" s="5">
        <f t="shared" si="2"/>
      </c>
      <c r="H20" s="5">
        <f>IF(ISNA(VLOOKUP($F20,'男子申込'!$C$13:$H$24,5,"false")),"",VLOOKUP(F20,'男子申込'!$C$13:$H$24,5,"false"))</f>
      </c>
      <c r="I20" s="46">
        <f>IF(ISNA(VLOOKUP($F20,'男子申込'!$C$13:$K$24,7,"false")),"",VLOOKUP(F20,'男子申込'!$C$13:$K$24,7,"false"))</f>
      </c>
      <c r="O20" s="2">
        <v>7</v>
      </c>
      <c r="P20" s="5">
        <f t="shared" si="3"/>
      </c>
      <c r="Q20" s="5">
        <f>IF(ISNA(VLOOKUP($F20,'女子申込'!$C$13:$G$24,5,"false")),"",VLOOKUP(O20,'女子申込'!$C$13:$G$24,5,"false"))</f>
      </c>
      <c r="R20" s="46">
        <f>IF(ISNA(VLOOKUP($F20,'女子申込'!$C$13:$J$24,7,"false")),"",VLOOKUP(O20,'女子申込'!$C$13:$J$24,7,"false"))</f>
      </c>
    </row>
    <row r="21" spans="6:18" ht="14.25" thickBot="1">
      <c r="F21" s="10">
        <v>8</v>
      </c>
      <c r="G21" s="11">
        <f t="shared" si="2"/>
      </c>
      <c r="H21" s="11">
        <f>IF(ISNA(VLOOKUP($F21,'男子申込'!$C$13:$H$24,5,"false")),"",VLOOKUP(F21,'男子申込'!$C$13:$H$24,5,"false"))</f>
      </c>
      <c r="I21" s="47">
        <f>IF(ISNA(VLOOKUP($F21,'男子申込'!$C$13:$K$24,7,"false")),"",VLOOKUP(F21,'男子申込'!$C$13:$K$24,7,"false"))</f>
      </c>
      <c r="O21" s="10">
        <v>8</v>
      </c>
      <c r="P21" s="11">
        <f t="shared" si="3"/>
      </c>
      <c r="Q21" s="11">
        <f>IF(ISNA(VLOOKUP($F21,'女子申込'!$C$13:$G$24,5,"false")),"",VLOOKUP(O21,'女子申込'!$C$13:$G$24,5,"false"))</f>
      </c>
      <c r="R21" s="47">
        <f>IF(ISNA(VLOOKUP($F21,'女子申込'!$C$13:$J$24,7,"false")),"",VLOOKUP(O21,'女子申込'!$C$13:$J$24,7,"false"))</f>
      </c>
    </row>
    <row r="22" spans="6:18" ht="13.5">
      <c r="F22" s="2">
        <v>9</v>
      </c>
      <c r="G22" s="5">
        <f t="shared" si="2"/>
      </c>
      <c r="H22" s="5">
        <f>IF(ISNA(VLOOKUP($F22,'男子申込'!$C$13:$H$24,5,"false")),"",VLOOKUP(F22,'男子申込'!$C$13:$H$24,5,"false"))</f>
      </c>
      <c r="I22" s="46">
        <f>IF(ISNA(VLOOKUP($F22,'男子申込'!$C$13:$K$24,7,"false")),"",VLOOKUP(F22,'男子申込'!$C$13:$K$24,7,"false"))</f>
      </c>
      <c r="O22" s="2">
        <v>9</v>
      </c>
      <c r="P22" s="5">
        <f t="shared" si="3"/>
      </c>
      <c r="Q22" s="5">
        <f>IF(ISNA(VLOOKUP($F22,'女子申込'!$C$13:$G$24,5,"false")),"",VLOOKUP(O22,'女子申込'!$C$13:$G$24,5,"false"))</f>
      </c>
      <c r="R22" s="46">
        <f>IF(ISNA(VLOOKUP($F22,'女子申込'!$C$13:$J$24,7,"false")),"",VLOOKUP(O22,'女子申込'!$C$13:$J$24,7,"false"))</f>
      </c>
    </row>
    <row r="23" spans="6:18" ht="13.5">
      <c r="F23" s="2">
        <v>10</v>
      </c>
      <c r="G23" s="5">
        <f t="shared" si="2"/>
      </c>
      <c r="H23" s="5">
        <f>IF(ISNA(VLOOKUP($F23,'男子申込'!$C$13:$H$24,5,"false")),"",VLOOKUP(F23,'男子申込'!$C$13:$H$24,5,"false"))</f>
      </c>
      <c r="I23" s="46">
        <f>IF(ISNA(VLOOKUP($F23,'男子申込'!$C$13:$K$24,7,"false")),"",VLOOKUP(F23,'男子申込'!$C$13:$K$24,7,"false"))</f>
      </c>
      <c r="O23" s="2">
        <v>10</v>
      </c>
      <c r="P23" s="5">
        <f t="shared" si="3"/>
      </c>
      <c r="Q23" s="5">
        <f>IF(ISNA(VLOOKUP($F23,'女子申込'!$C$13:$G$24,5,"false")),"",VLOOKUP(O23,'女子申込'!$C$13:$G$24,5,"false"))</f>
      </c>
      <c r="R23" s="46">
        <f>IF(ISNA(VLOOKUP($F23,'女子申込'!$C$13:$J$24,7,"false")),"",VLOOKUP(O23,'女子申込'!$C$13:$J$24,7,"false"))</f>
      </c>
    </row>
    <row r="24" spans="6:18" ht="13.5">
      <c r="F24" s="2">
        <v>11</v>
      </c>
      <c r="G24" s="5">
        <f t="shared" si="2"/>
      </c>
      <c r="H24" s="5">
        <f>IF(ISNA(VLOOKUP($F24,'男子申込'!$C$13:$H$24,5,"false")),"",VLOOKUP(F24,'男子申込'!$C$13:$H$24,5,"false"))</f>
      </c>
      <c r="I24" s="46">
        <f>IF(ISNA(VLOOKUP($F24,'男子申込'!$C$13:$K$24,7,"false")),"",VLOOKUP(F24,'男子申込'!$C$13:$K$24,7,"false"))</f>
      </c>
      <c r="O24" s="2">
        <v>11</v>
      </c>
      <c r="P24" s="5">
        <f t="shared" si="3"/>
      </c>
      <c r="Q24" s="5">
        <f>IF(ISNA(VLOOKUP($F24,'女子申込'!$C$13:$G$24,5,"false")),"",VLOOKUP(O24,'女子申込'!$C$13:$G$24,5,"false"))</f>
      </c>
      <c r="R24" s="46">
        <f>IF(ISNA(VLOOKUP($F24,'女子申込'!$C$13:$J$24,7,"false")),"",VLOOKUP(O24,'女子申込'!$C$13:$J$24,7,"false"))</f>
      </c>
    </row>
    <row r="25" spans="6:18" ht="13.5">
      <c r="F25" s="2">
        <v>12</v>
      </c>
      <c r="G25" s="5">
        <f t="shared" si="2"/>
      </c>
      <c r="H25" s="5">
        <f>IF(ISNA(VLOOKUP($F25,'男子申込'!$C$13:$H$24,5,"false")),"",VLOOKUP(F25,'男子申込'!$C$13:$H$24,5,"false"))</f>
      </c>
      <c r="I25" s="46">
        <f>IF(ISNA(VLOOKUP($F25,'男子申込'!$C$13:$K$24,7,"false")),"",VLOOKUP(F25,'男子申込'!$C$13:$K$24,7,"false"))</f>
      </c>
      <c r="O25" s="2">
        <v>12</v>
      </c>
      <c r="P25" s="5">
        <f t="shared" si="3"/>
      </c>
      <c r="Q25" s="5">
        <f>IF(ISNA(VLOOKUP($F25,'女子申込'!$C$13:$G$24,5,"false")),"",VLOOKUP(O25,'女子申込'!$C$13:$G$24,5,"false"))</f>
      </c>
      <c r="R25" s="46">
        <f>IF(ISNA(VLOOKUP($F25,'女子申込'!$C$13:$J$24,7,"false")),"",VLOOKUP(O25,'女子申込'!$C$13:$J$24,7,"false"))</f>
      </c>
    </row>
    <row r="26" spans="6:18" ht="13.5">
      <c r="F26" s="2">
        <v>13</v>
      </c>
      <c r="G26" s="5">
        <f t="shared" si="2"/>
      </c>
      <c r="H26" s="5">
        <f>IF(ISNA(VLOOKUP($F26,'男子申込'!$C$13:$H$24,5,"false")),"",VLOOKUP(F26,'男子申込'!$C$13:$H$24,5,"false"))</f>
      </c>
      <c r="I26" s="46">
        <f>IF(ISNA(VLOOKUP($F26,'男子申込'!$C$13:$K$24,7,"false")),"",VLOOKUP(F26,'男子申込'!$C$13:$K$24,7,"false"))</f>
      </c>
      <c r="O26" s="2">
        <v>13</v>
      </c>
      <c r="P26" s="5">
        <f t="shared" si="3"/>
      </c>
      <c r="Q26" s="5">
        <f>IF(ISNA(VLOOKUP($F26,'女子申込'!$C$13:$G$24,5,"false")),"",VLOOKUP(O26,'女子申込'!$C$13:$G$24,5,"false"))</f>
      </c>
      <c r="R26" s="46">
        <f>IF(ISNA(VLOOKUP($F26,'女子申込'!$C$13:$J$24,7,"false")),"",VLOOKUP(O26,'女子申込'!$C$13:$J$24,7,"false"))</f>
      </c>
    </row>
    <row r="27" spans="6:18" ht="13.5">
      <c r="F27" s="2">
        <v>14</v>
      </c>
      <c r="G27" s="5">
        <f t="shared" si="2"/>
      </c>
      <c r="H27" s="5">
        <f>IF(ISNA(VLOOKUP($F27,'男子申込'!$C$13:$H$24,5,"false")),"",VLOOKUP(F27,'男子申込'!$C$13:$H$24,5,"false"))</f>
      </c>
      <c r="I27" s="46">
        <f>IF(ISNA(VLOOKUP($F27,'男子申込'!$C$13:$K$24,7,"false")),"",VLOOKUP(F27,'男子申込'!$C$13:$K$24,7,"false"))</f>
      </c>
      <c r="O27" s="2">
        <v>14</v>
      </c>
      <c r="P27" s="5">
        <f t="shared" si="3"/>
      </c>
      <c r="Q27" s="5">
        <f>IF(ISNA(VLOOKUP($F27,'女子申込'!$C$13:$G$24,5,"false")),"",VLOOKUP(O27,'女子申込'!$C$13:$G$24,5,"false"))</f>
      </c>
      <c r="R27" s="46">
        <f>IF(ISNA(VLOOKUP($F27,'女子申込'!$C$13:$J$24,7,"false")),"",VLOOKUP(O27,'女子申込'!$C$13:$J$24,7,"false"))</f>
      </c>
    </row>
    <row r="28" spans="6:18" ht="13.5">
      <c r="F28" s="2">
        <v>15</v>
      </c>
      <c r="G28" s="5">
        <f t="shared" si="2"/>
      </c>
      <c r="H28" s="5">
        <f>IF(ISNA(VLOOKUP($F28,'男子申込'!$C$13:$H$24,5,"false")),"",VLOOKUP(F28,'男子申込'!$C$13:$H$24,5,"false"))</f>
      </c>
      <c r="I28" s="46">
        <f>IF(ISNA(VLOOKUP($F28,'男子申込'!$C$13:$K$24,7,"false")),"",VLOOKUP(F28,'男子申込'!$C$13:$K$24,7,"false"))</f>
      </c>
      <c r="O28" s="2">
        <v>15</v>
      </c>
      <c r="P28" s="5">
        <f t="shared" si="3"/>
      </c>
      <c r="Q28" s="5">
        <f>IF(ISNA(VLOOKUP($F28,'女子申込'!$C$13:$G$24,5,"false")),"",VLOOKUP(O28,'女子申込'!$C$13:$G$24,5,"false"))</f>
      </c>
      <c r="R28" s="46">
        <f>IF(ISNA(VLOOKUP($F28,'女子申込'!$C$13:$J$24,7,"false")),"",VLOOKUP(O28,'女子申込'!$C$13:$J$24,7,"false"))</f>
      </c>
    </row>
    <row r="29" spans="6:18" ht="14.25" thickBot="1">
      <c r="F29" s="10">
        <v>16</v>
      </c>
      <c r="G29" s="11">
        <f t="shared" si="2"/>
      </c>
      <c r="H29" s="11">
        <f>IF(ISNA(VLOOKUP($F29,'男子申込'!$C$13:$H$24,5,"false")),"",VLOOKUP(F29,'男子申込'!$C$13:$H$24,5,"false"))</f>
      </c>
      <c r="I29" s="47">
        <f>IF(ISNA(VLOOKUP($F29,'男子申込'!$C$13:$K$24,7,"false")),"",VLOOKUP(F29,'男子申込'!$C$13:$K$24,7,"false"))</f>
      </c>
      <c r="O29" s="10">
        <v>16</v>
      </c>
      <c r="P29" s="11">
        <f t="shared" si="3"/>
      </c>
      <c r="Q29" s="11">
        <f>IF(ISNA(VLOOKUP($F29,'女子申込'!$C$13:$G$24,5,"false")),"",VLOOKUP(O29,'女子申込'!$C$13:$G$24,5,"false"))</f>
      </c>
      <c r="R29" s="47">
        <f>IF(ISNA(VLOOKUP($F29,'女子申込'!$C$13:$J$24,7,"false")),"",VLOOKUP(O29,'女子申込'!$C$13:$J$24,7,"false"))</f>
      </c>
    </row>
  </sheetData>
  <sheetProtection/>
  <mergeCells count="6">
    <mergeCell ref="O13:R13"/>
    <mergeCell ref="F13:I13"/>
    <mergeCell ref="F2:I2"/>
    <mergeCell ref="B2:D2"/>
    <mergeCell ref="K2:M2"/>
    <mergeCell ref="O2:R2"/>
  </mergeCells>
  <hyperlinks>
    <hyperlink ref="C16" location="Menu!A1" display="戻る"/>
    <hyperlink ref="L16" location="Menu!A1" display="戻る"/>
  </hyperlinks>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J95"/>
  <sheetViews>
    <sheetView showGridLines="0" showRowColHeaders="0" view="pageBreakPreview" zoomScale="60" zoomScalePageLayoutView="0" workbookViewId="0" topLeftCell="E10">
      <selection activeCell="A1" sqref="A1"/>
    </sheetView>
  </sheetViews>
  <sheetFormatPr defaultColWidth="9.00390625" defaultRowHeight="13.5"/>
  <cols>
    <col min="1" max="4" width="9.00390625" style="19" hidden="1" customWidth="1"/>
    <col min="5" max="5" width="2.625" style="19" customWidth="1"/>
    <col min="6" max="6" width="4.00390625" style="19" bestFit="1" customWidth="1"/>
    <col min="7" max="8" width="7.50390625" style="19" customWidth="1"/>
    <col min="9" max="9" width="15.00390625" style="19" customWidth="1"/>
    <col min="10" max="10" width="5.375" style="19" bestFit="1" customWidth="1"/>
    <col min="11" max="13" width="9.125" style="25" customWidth="1"/>
    <col min="14" max="14" width="11.625" style="25" customWidth="1"/>
    <col min="15" max="15" width="2.375" style="19" customWidth="1"/>
    <col min="16" max="16" width="6.75390625" style="19" hidden="1" customWidth="1"/>
    <col min="17" max="20" width="9.375" style="19" hidden="1" customWidth="1"/>
    <col min="21" max="29" width="9.00390625" style="19" hidden="1" customWidth="1"/>
    <col min="30" max="31" width="9.00390625" style="19" customWidth="1"/>
    <col min="32" max="32" width="14.625" style="19" customWidth="1"/>
    <col min="33" max="33" width="24.375" style="19" customWidth="1"/>
    <col min="34" max="34" width="31.625" style="19" bestFit="1" customWidth="1"/>
    <col min="35" max="16384" width="9.00390625" style="19" customWidth="1"/>
  </cols>
  <sheetData>
    <row r="1" spans="5:20" ht="20.25">
      <c r="E1" s="140" t="s">
        <v>53</v>
      </c>
      <c r="F1" s="140"/>
      <c r="G1" s="140"/>
      <c r="H1" s="140"/>
      <c r="I1" s="140"/>
      <c r="J1" s="140"/>
      <c r="K1" s="140"/>
      <c r="L1" s="140"/>
      <c r="M1" s="140"/>
      <c r="N1" s="140"/>
      <c r="O1" s="87"/>
      <c r="P1" s="88"/>
      <c r="Q1" s="23"/>
      <c r="R1" s="23"/>
      <c r="S1" s="23"/>
      <c r="T1" s="23"/>
    </row>
    <row r="2" spans="5:20" ht="6" customHeight="1" thickBot="1">
      <c r="E2" s="23"/>
      <c r="F2" s="23"/>
      <c r="G2" s="23"/>
      <c r="H2" s="23"/>
      <c r="I2" s="23"/>
      <c r="J2" s="23"/>
      <c r="K2" s="23"/>
      <c r="L2" s="23"/>
      <c r="M2" s="23"/>
      <c r="N2" s="23"/>
      <c r="O2" s="23"/>
      <c r="P2" s="23"/>
      <c r="Q2" s="23"/>
      <c r="R2" s="23"/>
      <c r="S2" s="23"/>
      <c r="T2" s="23"/>
    </row>
    <row r="3" spans="6:9" ht="30" customHeight="1" thickBot="1">
      <c r="F3" s="124" t="s">
        <v>12</v>
      </c>
      <c r="G3" s="125"/>
      <c r="H3" s="126"/>
      <c r="I3" s="24"/>
    </row>
    <row r="4" spans="6:9" ht="18.75" customHeight="1">
      <c r="F4" s="25"/>
      <c r="G4" s="25"/>
      <c r="H4" s="25"/>
      <c r="I4" s="25"/>
    </row>
    <row r="5" ht="14.25"/>
    <row r="6" ht="14.25"/>
    <row r="7" ht="14.25">
      <c r="V7" s="19" t="s">
        <v>12</v>
      </c>
    </row>
    <row r="8" ht="14.25"/>
    <row r="9" ht="15" thickBot="1">
      <c r="V9" s="19" t="s">
        <v>15</v>
      </c>
    </row>
    <row r="10" spans="6:26" ht="12.75" customHeight="1">
      <c r="F10" s="132" t="s">
        <v>37</v>
      </c>
      <c r="G10" s="136" t="s">
        <v>0</v>
      </c>
      <c r="H10" s="137"/>
      <c r="I10" s="141" t="s">
        <v>34</v>
      </c>
      <c r="J10" s="143" t="s">
        <v>1</v>
      </c>
      <c r="K10" s="42" t="s">
        <v>42</v>
      </c>
      <c r="L10" s="42" t="s">
        <v>8</v>
      </c>
      <c r="M10" s="42" t="s">
        <v>44</v>
      </c>
      <c r="N10" s="130" t="s">
        <v>2</v>
      </c>
      <c r="X10" s="37">
        <f>IF(COUNTIF(K13:K24,"○")=VLOOKUP(E1,$H$41:$M$43,6,FALSE),"","○")</f>
      </c>
      <c r="Y10" s="19">
        <f>IF(COUNTIF($M$13:$M$24,1)&gt;=1,"",1)</f>
      </c>
      <c r="Z10" s="19">
        <f>IF(COUNTIF($L$13:$L$24,1)&gt;=2,"",1)</f>
      </c>
    </row>
    <row r="11" spans="6:26" ht="12.75" customHeight="1" thickBot="1">
      <c r="F11" s="133"/>
      <c r="G11" s="138"/>
      <c r="H11" s="139"/>
      <c r="I11" s="142"/>
      <c r="J11" s="144"/>
      <c r="K11" s="48" t="str">
        <f>VLOOKUP(E1,$H$41:$L$43,3,FALSE)</f>
        <v>（５名）</v>
      </c>
      <c r="L11" s="48" t="str">
        <f>VLOOKUP(E1,$H$41:$L$43,4,FALSE)</f>
        <v>（４組）</v>
      </c>
      <c r="M11" s="48" t="str">
        <f>VLOOKUP(E1,$H$41:$L$43,5,FALSE)</f>
        <v>（８名）</v>
      </c>
      <c r="N11" s="131"/>
      <c r="Y11" s="19">
        <f>IF(COUNTIF($M$13:$M$24,2)&gt;=1,"",2)</f>
      </c>
      <c r="Z11" s="19">
        <f>IF(COUNTIF($L$13:$L$24,2)&gt;=2,"",2)</f>
      </c>
    </row>
    <row r="12" spans="6:33" ht="30.75" customHeight="1" thickBot="1" thickTop="1">
      <c r="F12" s="26" t="s">
        <v>29</v>
      </c>
      <c r="G12" s="134" t="str">
        <f>'[1]Menu'!C22</f>
        <v>宮崎　二郎</v>
      </c>
      <c r="H12" s="135"/>
      <c r="I12" s="27" t="s">
        <v>33</v>
      </c>
      <c r="J12" s="28"/>
      <c r="K12" s="28"/>
      <c r="L12" s="28"/>
      <c r="M12" s="28"/>
      <c r="N12" s="29"/>
      <c r="Y12" s="19">
        <f>IF(COUNTIF($M$13:$M$24,3)&gt;=1,"",3)</f>
      </c>
      <c r="Z12" s="19">
        <f>IF(COUNTIF($L$13:$L$24,3)&gt;=2,"",3)</f>
        <v>3</v>
      </c>
      <c r="AF12" s="145" t="str">
        <f>MID(E1,3,30)</f>
        <v>総体テニス競技参加申込書</v>
      </c>
      <c r="AG12" s="145"/>
    </row>
    <row r="13" spans="1:34" ht="26.25" customHeight="1" thickTop="1">
      <c r="A13" s="19">
        <f aca="true" t="shared" si="0" ref="A13:A24">IF(U13="","",RANK(U13,$U$13:$U$24,1))</f>
        <v>1</v>
      </c>
      <c r="B13" s="19">
        <f aca="true" t="shared" si="1" ref="B13:B24">IF(V13="","",RANK(V13,$V$13:$V$24,1))</f>
        <v>1</v>
      </c>
      <c r="C13" s="19">
        <f>IF(M13="","",M13)</f>
        <v>1</v>
      </c>
      <c r="F13" s="30">
        <v>1</v>
      </c>
      <c r="G13" s="107" t="s">
        <v>104</v>
      </c>
      <c r="H13" s="90" t="s">
        <v>105</v>
      </c>
      <c r="I13" s="91" t="s">
        <v>106</v>
      </c>
      <c r="J13" s="108" t="s">
        <v>107</v>
      </c>
      <c r="K13" s="108" t="s">
        <v>108</v>
      </c>
      <c r="L13" s="108">
        <v>1</v>
      </c>
      <c r="M13" s="108">
        <v>1</v>
      </c>
      <c r="N13" s="109"/>
      <c r="P13" s="19" t="str">
        <f>G13</f>
        <v>都城</v>
      </c>
      <c r="Q13" s="19" t="str">
        <f>H13</f>
        <v>三郎</v>
      </c>
      <c r="R13" s="19" t="str">
        <f>J13</f>
        <v>③</v>
      </c>
      <c r="S13" s="37" t="s">
        <v>96</v>
      </c>
      <c r="T13" s="19">
        <f>IF(COUNT(L13:M13)+COUNTA(K13)&gt;0,1,0)</f>
        <v>1</v>
      </c>
      <c r="U13" s="19">
        <f>IF(K13="○",F13,"")</f>
        <v>1</v>
      </c>
      <c r="V13" s="19">
        <f>IF(L13="","",L13+F13/10)</f>
        <v>1.1</v>
      </c>
      <c r="Y13" s="19">
        <f>IF(COUNTIF($M$13:$M$24,4)&gt;=1,"",4)</f>
      </c>
      <c r="Z13" s="19">
        <f>IF(COUNTIF($L$13:$L$24,4)&gt;=2,"",4)</f>
        <v>4</v>
      </c>
      <c r="AA13" s="19" t="s">
        <v>13</v>
      </c>
      <c r="AF13" s="31" t="s">
        <v>7</v>
      </c>
      <c r="AG13" s="129" t="str">
        <f>IF(COUNTA(K13:K24)&gt;0,"参加します( "&amp;COUNTA(K13:K24)&amp;" 名)","参加しません")</f>
        <v>参加します( 5 名)</v>
      </c>
      <c r="AH13" s="129"/>
    </row>
    <row r="14" spans="1:34" ht="26.25" customHeight="1">
      <c r="A14" s="19">
        <f t="shared" si="0"/>
        <v>2</v>
      </c>
      <c r="B14" s="19">
        <f t="shared" si="1"/>
        <v>2</v>
      </c>
      <c r="C14" s="19">
        <f aca="true" t="shared" si="2" ref="C14:C24">IF(M14="","",M14)</f>
        <v>2</v>
      </c>
      <c r="F14" s="32">
        <v>2</v>
      </c>
      <c r="G14" s="110" t="s">
        <v>109</v>
      </c>
      <c r="H14" s="90" t="s">
        <v>110</v>
      </c>
      <c r="I14" s="91" t="s">
        <v>111</v>
      </c>
      <c r="J14" s="111" t="s">
        <v>107</v>
      </c>
      <c r="K14" s="111" t="s">
        <v>108</v>
      </c>
      <c r="L14" s="111">
        <v>1</v>
      </c>
      <c r="M14" s="111">
        <v>2</v>
      </c>
      <c r="N14" s="112"/>
      <c r="P14" s="19" t="str">
        <f aca="true" t="shared" si="3" ref="P14:Q24">G14</f>
        <v>延岡</v>
      </c>
      <c r="Q14" s="19" t="str">
        <f t="shared" si="3"/>
        <v>四郎</v>
      </c>
      <c r="R14" s="19" t="str">
        <f aca="true" t="shared" si="4" ref="R14:R24">J14</f>
        <v>③</v>
      </c>
      <c r="S14" s="37" t="s">
        <v>95</v>
      </c>
      <c r="T14" s="19">
        <f aca="true" t="shared" si="5" ref="T14:T24">IF(COUNT(L14:M14)+COUNTA(K14)&gt;0,1,0)</f>
        <v>1</v>
      </c>
      <c r="U14" s="19">
        <f aca="true" t="shared" si="6" ref="U14:U24">IF(K14="○",F14,"")</f>
        <v>2</v>
      </c>
      <c r="V14" s="19">
        <f aca="true" t="shared" si="7" ref="V14:V24">IF(L14="","",L14+F14/10)</f>
        <v>1.2</v>
      </c>
      <c r="Y14" s="19">
        <f>IF(COUNTIF($M$13:$M$24,5)&gt;=1,"",5)</f>
      </c>
      <c r="Z14" s="19">
        <f>IF(COUNTIF($L$13:$L$24,5)&gt;=2,"",5)</f>
        <v>5</v>
      </c>
      <c r="AA14" s="19" t="s">
        <v>14</v>
      </c>
      <c r="AF14" s="31" t="s">
        <v>8</v>
      </c>
      <c r="AG14" s="16" t="str">
        <f>IF(V28=V29,V29&amp;" 組","申し込みに不備が有ります")</f>
        <v>2 組</v>
      </c>
      <c r="AH14" s="16"/>
    </row>
    <row r="15" spans="1:34" ht="26.25" customHeight="1">
      <c r="A15" s="19">
        <f t="shared" si="0"/>
        <v>3</v>
      </c>
      <c r="B15" s="19">
        <f t="shared" si="1"/>
        <v>3</v>
      </c>
      <c r="C15" s="19">
        <f t="shared" si="2"/>
        <v>3</v>
      </c>
      <c r="F15" s="32">
        <v>3</v>
      </c>
      <c r="G15" s="110" t="s">
        <v>112</v>
      </c>
      <c r="H15" s="90" t="s">
        <v>113</v>
      </c>
      <c r="I15" s="91" t="s">
        <v>114</v>
      </c>
      <c r="J15" s="111" t="s">
        <v>115</v>
      </c>
      <c r="K15" s="111" t="s">
        <v>108</v>
      </c>
      <c r="L15" s="111">
        <v>2</v>
      </c>
      <c r="M15" s="111">
        <v>3</v>
      </c>
      <c r="N15" s="112"/>
      <c r="P15" s="19" t="str">
        <f t="shared" si="3"/>
        <v>日向</v>
      </c>
      <c r="Q15" s="19" t="str">
        <f t="shared" si="3"/>
        <v>五郎</v>
      </c>
      <c r="R15" s="19" t="str">
        <f t="shared" si="4"/>
        <v>②</v>
      </c>
      <c r="S15" s="37" t="s">
        <v>94</v>
      </c>
      <c r="T15" s="19">
        <f t="shared" si="5"/>
        <v>1</v>
      </c>
      <c r="U15" s="19">
        <f t="shared" si="6"/>
        <v>3</v>
      </c>
      <c r="V15" s="19">
        <f t="shared" si="7"/>
        <v>2.3</v>
      </c>
      <c r="Y15" s="19">
        <f>IF(COUNTIF($M$13:$M$24,6)&gt;=1,"",6)</f>
        <v>6</v>
      </c>
      <c r="Z15" s="19">
        <f>IF(COUNTIF($L$13:$L$24,6)&gt;=2,"",6)</f>
        <v>6</v>
      </c>
      <c r="AF15" s="31" t="s">
        <v>9</v>
      </c>
      <c r="AG15" s="16" t="str">
        <f>IF(COUNT(M13:M24)=MAX(M13:M24),MAX(M13:M24)&amp;" 人","申し込みに不備が有ります")</f>
        <v>5 人</v>
      </c>
      <c r="AH15" s="16"/>
    </row>
    <row r="16" spans="1:25" ht="26.25" customHeight="1">
      <c r="A16" s="19">
        <f t="shared" si="0"/>
        <v>4</v>
      </c>
      <c r="B16" s="19">
        <f t="shared" si="1"/>
      </c>
      <c r="C16" s="19">
        <f t="shared" si="2"/>
        <v>4</v>
      </c>
      <c r="F16" s="32">
        <v>4</v>
      </c>
      <c r="G16" s="110" t="s">
        <v>116</v>
      </c>
      <c r="H16" s="90" t="s">
        <v>117</v>
      </c>
      <c r="I16" s="91" t="s">
        <v>118</v>
      </c>
      <c r="J16" s="111" t="s">
        <v>119</v>
      </c>
      <c r="K16" s="111" t="s">
        <v>108</v>
      </c>
      <c r="L16" s="111"/>
      <c r="M16" s="111">
        <v>4</v>
      </c>
      <c r="N16" s="112"/>
      <c r="P16" s="19" t="str">
        <f t="shared" si="3"/>
        <v>高鍋</v>
      </c>
      <c r="Q16" s="19" t="str">
        <f t="shared" si="3"/>
        <v>六郎</v>
      </c>
      <c r="R16" s="19" t="str">
        <f t="shared" si="4"/>
        <v>①</v>
      </c>
      <c r="T16" s="19">
        <f t="shared" si="5"/>
        <v>1</v>
      </c>
      <c r="U16" s="19">
        <f t="shared" si="6"/>
        <v>4</v>
      </c>
      <c r="V16" s="19">
        <f t="shared" si="7"/>
      </c>
      <c r="X16" s="37"/>
      <c r="Y16" s="19">
        <f>IF(COUNTIF($M$13:$M$24,7)&gt;=1,"",7)</f>
        <v>7</v>
      </c>
    </row>
    <row r="17" spans="1:25" ht="26.25" customHeight="1">
      <c r="A17" s="19">
        <f t="shared" si="0"/>
        <v>5</v>
      </c>
      <c r="B17" s="19">
        <f t="shared" si="1"/>
        <v>4</v>
      </c>
      <c r="C17" s="19">
        <f t="shared" si="2"/>
        <v>5</v>
      </c>
      <c r="F17" s="32">
        <v>5</v>
      </c>
      <c r="G17" s="110" t="s">
        <v>120</v>
      </c>
      <c r="H17" s="90" t="s">
        <v>121</v>
      </c>
      <c r="I17" s="91" t="s">
        <v>122</v>
      </c>
      <c r="J17" s="111" t="s">
        <v>115</v>
      </c>
      <c r="K17" s="111" t="s">
        <v>108</v>
      </c>
      <c r="L17" s="111">
        <v>2</v>
      </c>
      <c r="M17" s="111">
        <v>5</v>
      </c>
      <c r="N17" s="112"/>
      <c r="P17" s="19" t="str">
        <f t="shared" si="3"/>
        <v>小林</v>
      </c>
      <c r="Q17" s="19" t="str">
        <f t="shared" si="3"/>
        <v>七郎</v>
      </c>
      <c r="R17" s="19" t="str">
        <f t="shared" si="4"/>
        <v>②</v>
      </c>
      <c r="T17" s="19">
        <f t="shared" si="5"/>
        <v>1</v>
      </c>
      <c r="U17" s="19">
        <f t="shared" si="6"/>
        <v>5</v>
      </c>
      <c r="V17" s="19">
        <f t="shared" si="7"/>
        <v>2.5</v>
      </c>
      <c r="X17" s="19">
        <f>IF(E1=H43,IF(COUNTIF($K$13:$K$24,7)&gt;=1,"",7),"")</f>
      </c>
      <c r="Y17" s="19">
        <f>IF(COUNTIF($M$13:$M$24,8)&gt;=1,"",8)</f>
        <v>8</v>
      </c>
    </row>
    <row r="18" spans="1:25" ht="26.25" customHeight="1">
      <c r="A18" s="19">
        <f t="shared" si="0"/>
      </c>
      <c r="B18" s="19">
        <f t="shared" si="1"/>
      </c>
      <c r="C18" s="19">
        <f t="shared" si="2"/>
      </c>
      <c r="F18" s="32">
        <v>6</v>
      </c>
      <c r="G18" s="110"/>
      <c r="H18" s="90"/>
      <c r="I18" s="91"/>
      <c r="J18" s="111"/>
      <c r="K18" s="111"/>
      <c r="L18" s="111"/>
      <c r="M18" s="111"/>
      <c r="N18" s="112"/>
      <c r="P18" s="19">
        <f t="shared" si="3"/>
        <v>0</v>
      </c>
      <c r="Q18" s="19">
        <f t="shared" si="3"/>
        <v>0</v>
      </c>
      <c r="R18" s="19">
        <f t="shared" si="4"/>
        <v>0</v>
      </c>
      <c r="T18" s="19">
        <f t="shared" si="5"/>
        <v>0</v>
      </c>
      <c r="U18" s="19">
        <f t="shared" si="6"/>
      </c>
      <c r="V18" s="19">
        <f t="shared" si="7"/>
      </c>
      <c r="X18" s="19">
        <f>IF(E1=H43,IF(COUNTIF($K$13:$K$24,8)&gt;=1,"",8),"")</f>
      </c>
      <c r="Y18" s="19">
        <f>IF(COUNTIF($M$13:$M$24,9)&gt;=1,"",9)</f>
        <v>9</v>
      </c>
    </row>
    <row r="19" spans="1:25" ht="26.25" customHeight="1">
      <c r="A19" s="19">
        <f t="shared" si="0"/>
      </c>
      <c r="B19" s="19">
        <f t="shared" si="1"/>
      </c>
      <c r="C19" s="19">
        <f t="shared" si="2"/>
      </c>
      <c r="F19" s="32">
        <v>7</v>
      </c>
      <c r="G19" s="110"/>
      <c r="H19" s="90"/>
      <c r="I19" s="91"/>
      <c r="J19" s="111"/>
      <c r="K19" s="111"/>
      <c r="L19" s="111"/>
      <c r="M19" s="111"/>
      <c r="N19" s="112"/>
      <c r="P19" s="19">
        <f t="shared" si="3"/>
        <v>0</v>
      </c>
      <c r="Q19" s="19">
        <f t="shared" si="3"/>
        <v>0</v>
      </c>
      <c r="R19" s="19">
        <f t="shared" si="4"/>
        <v>0</v>
      </c>
      <c r="T19" s="19">
        <f t="shared" si="5"/>
        <v>0</v>
      </c>
      <c r="U19" s="19">
        <f>IF(K19="○",F19,"")</f>
      </c>
      <c r="V19" s="19">
        <f t="shared" si="7"/>
      </c>
      <c r="X19" s="19">
        <f>IF(E1=H43,IF(COUNTIF($K$13:$K$24,9)&gt;=1,"",9),"")</f>
      </c>
      <c r="Y19" s="19">
        <f>IF(COUNTIF($M$13:$M$24,10)&gt;=1,"",10)</f>
        <v>10</v>
      </c>
    </row>
    <row r="20" spans="1:25" ht="26.25" customHeight="1">
      <c r="A20" s="19">
        <f t="shared" si="0"/>
      </c>
      <c r="B20" s="19">
        <f t="shared" si="1"/>
      </c>
      <c r="C20" s="19">
        <f t="shared" si="2"/>
      </c>
      <c r="F20" s="32">
        <v>8</v>
      </c>
      <c r="G20" s="110"/>
      <c r="H20" s="90"/>
      <c r="I20" s="91"/>
      <c r="J20" s="111"/>
      <c r="K20" s="111"/>
      <c r="L20" s="111"/>
      <c r="M20" s="111"/>
      <c r="N20" s="112"/>
      <c r="P20" s="19">
        <f t="shared" si="3"/>
        <v>0</v>
      </c>
      <c r="Q20" s="19">
        <f t="shared" si="3"/>
        <v>0</v>
      </c>
      <c r="R20" s="19">
        <f t="shared" si="4"/>
        <v>0</v>
      </c>
      <c r="T20" s="19">
        <f t="shared" si="5"/>
        <v>0</v>
      </c>
      <c r="U20" s="19">
        <f t="shared" si="6"/>
      </c>
      <c r="V20" s="19">
        <f t="shared" si="7"/>
      </c>
      <c r="Y20" s="19">
        <f>IF(COUNTIF($M$13:$M$24,11)&gt;=1,"",11)</f>
        <v>11</v>
      </c>
    </row>
    <row r="21" spans="1:25" ht="26.25" customHeight="1">
      <c r="A21" s="19">
        <f t="shared" si="0"/>
      </c>
      <c r="B21" s="19">
        <f t="shared" si="1"/>
      </c>
      <c r="C21" s="19">
        <f t="shared" si="2"/>
      </c>
      <c r="F21" s="32">
        <v>9</v>
      </c>
      <c r="G21" s="110"/>
      <c r="H21" s="90"/>
      <c r="I21" s="91"/>
      <c r="J21" s="111"/>
      <c r="K21" s="111"/>
      <c r="L21" s="111"/>
      <c r="M21" s="111"/>
      <c r="N21" s="112"/>
      <c r="P21" s="19">
        <f t="shared" si="3"/>
        <v>0</v>
      </c>
      <c r="Q21" s="19">
        <f t="shared" si="3"/>
        <v>0</v>
      </c>
      <c r="R21" s="19">
        <f t="shared" si="4"/>
        <v>0</v>
      </c>
      <c r="T21" s="19">
        <f t="shared" si="5"/>
        <v>0</v>
      </c>
      <c r="U21" s="19">
        <f>IF(K21="○",F21,"")</f>
      </c>
      <c r="V21" s="19">
        <f t="shared" si="7"/>
      </c>
      <c r="Y21" s="19">
        <f>IF(COUNTIF($M$13:$M$24,12)&gt;=1,"",12)</f>
        <v>12</v>
      </c>
    </row>
    <row r="22" spans="1:22" ht="26.25" customHeight="1">
      <c r="A22" s="19">
        <f t="shared" si="0"/>
      </c>
      <c r="B22" s="19">
        <f t="shared" si="1"/>
      </c>
      <c r="C22" s="19">
        <f t="shared" si="2"/>
      </c>
      <c r="F22" s="32">
        <v>10</v>
      </c>
      <c r="G22" s="110"/>
      <c r="H22" s="90"/>
      <c r="I22" s="91"/>
      <c r="J22" s="111"/>
      <c r="K22" s="111"/>
      <c r="L22" s="111"/>
      <c r="M22" s="111"/>
      <c r="N22" s="112"/>
      <c r="P22" s="19">
        <f t="shared" si="3"/>
        <v>0</v>
      </c>
      <c r="Q22" s="19">
        <f t="shared" si="3"/>
        <v>0</v>
      </c>
      <c r="R22" s="19">
        <f t="shared" si="4"/>
        <v>0</v>
      </c>
      <c r="T22" s="19">
        <f t="shared" si="5"/>
        <v>0</v>
      </c>
      <c r="U22" s="19">
        <f t="shared" si="6"/>
      </c>
      <c r="V22" s="19">
        <f t="shared" si="7"/>
      </c>
    </row>
    <row r="23" spans="1:22" ht="26.25" customHeight="1">
      <c r="A23" s="19">
        <f t="shared" si="0"/>
      </c>
      <c r="B23" s="19">
        <f t="shared" si="1"/>
      </c>
      <c r="C23" s="19">
        <f t="shared" si="2"/>
      </c>
      <c r="F23" s="32">
        <v>11</v>
      </c>
      <c r="G23" s="110"/>
      <c r="H23" s="90"/>
      <c r="I23" s="91"/>
      <c r="J23" s="111"/>
      <c r="K23" s="113"/>
      <c r="L23" s="111"/>
      <c r="M23" s="111"/>
      <c r="N23" s="112"/>
      <c r="P23" s="19">
        <f t="shared" si="3"/>
        <v>0</v>
      </c>
      <c r="Q23" s="19">
        <f t="shared" si="3"/>
        <v>0</v>
      </c>
      <c r="R23" s="19">
        <f t="shared" si="4"/>
        <v>0</v>
      </c>
      <c r="T23" s="19">
        <f>IF(COUNT(L23:M23)+COUNTA(#REF!)&gt;0,1,0)</f>
        <v>1</v>
      </c>
      <c r="U23" s="19">
        <f>IF(K23="○",F23,"")</f>
      </c>
      <c r="V23" s="19">
        <f>IF(L23="","",L23+F23/10)</f>
      </c>
    </row>
    <row r="24" spans="1:22" ht="26.25" customHeight="1" thickBot="1">
      <c r="A24" s="19">
        <f t="shared" si="0"/>
      </c>
      <c r="B24" s="19">
        <f t="shared" si="1"/>
      </c>
      <c r="C24" s="19">
        <f t="shared" si="2"/>
      </c>
      <c r="F24" s="59">
        <v>12</v>
      </c>
      <c r="G24" s="114"/>
      <c r="H24" s="99"/>
      <c r="I24" s="100"/>
      <c r="J24" s="115"/>
      <c r="K24" s="115"/>
      <c r="L24" s="115"/>
      <c r="M24" s="115"/>
      <c r="N24" s="116"/>
      <c r="P24" s="19">
        <f t="shared" si="3"/>
        <v>0</v>
      </c>
      <c r="Q24" s="19">
        <f t="shared" si="3"/>
        <v>0</v>
      </c>
      <c r="R24" s="19">
        <f t="shared" si="4"/>
        <v>0</v>
      </c>
      <c r="T24" s="19">
        <f t="shared" si="5"/>
        <v>0</v>
      </c>
      <c r="U24" s="19">
        <f t="shared" si="6"/>
      </c>
      <c r="V24" s="19">
        <f t="shared" si="7"/>
      </c>
    </row>
    <row r="25" spans="6:14" ht="28.5" customHeight="1" thickBot="1">
      <c r="F25" s="20"/>
      <c r="G25" s="20"/>
      <c r="H25" s="20"/>
      <c r="I25" s="20"/>
      <c r="J25" s="20"/>
      <c r="K25" s="33"/>
      <c r="L25" s="53" t="s">
        <v>6</v>
      </c>
      <c r="M25" s="127" t="s">
        <v>123</v>
      </c>
      <c r="N25" s="128"/>
    </row>
    <row r="26" spans="6:22" ht="13.5">
      <c r="F26" s="34"/>
      <c r="G26" s="35" t="str">
        <f>"申込締切日　：　"&amp;VLOOKUP(E1,'[1]男子申込'!$H$41:$N$43,7,FALSE)</f>
        <v>申込締切日　：　令和４年４月２８日（金）</v>
      </c>
      <c r="I26" s="35"/>
      <c r="J26" s="35"/>
      <c r="K26" s="36"/>
      <c r="L26" s="36"/>
      <c r="M26" s="36"/>
      <c r="N26" s="36"/>
      <c r="V26" s="19" t="s">
        <v>16</v>
      </c>
    </row>
    <row r="27" spans="6:14" ht="13.5">
      <c r="F27" s="34" t="s">
        <v>24</v>
      </c>
      <c r="G27" s="35" t="s">
        <v>58</v>
      </c>
      <c r="I27" s="35"/>
      <c r="J27" s="35"/>
      <c r="K27" s="36"/>
      <c r="L27" s="36"/>
      <c r="M27" s="36"/>
      <c r="N27" s="36"/>
    </row>
    <row r="28" spans="6:22" ht="13.5">
      <c r="F28" s="37" t="s">
        <v>24</v>
      </c>
      <c r="G28" s="19" t="s">
        <v>93</v>
      </c>
      <c r="I28" s="35"/>
      <c r="J28" s="35"/>
      <c r="K28" s="36"/>
      <c r="L28" s="36"/>
      <c r="M28" s="36"/>
      <c r="N28" s="36"/>
      <c r="V28" s="19">
        <f>MAX(L13:L24)</f>
        <v>2</v>
      </c>
    </row>
    <row r="29" spans="6:22" ht="13.5">
      <c r="F29" s="34" t="s">
        <v>24</v>
      </c>
      <c r="G29" s="35" t="s">
        <v>92</v>
      </c>
      <c r="I29" s="35"/>
      <c r="J29" s="35"/>
      <c r="K29" s="36"/>
      <c r="L29" s="36"/>
      <c r="M29" s="36"/>
      <c r="N29" s="36"/>
      <c r="V29" s="19">
        <f>ROUNDDOWN(COUNT(L13:L24)/2,0)</f>
        <v>2</v>
      </c>
    </row>
    <row r="30" spans="6:14" ht="13.5">
      <c r="F30" s="34"/>
      <c r="G30" s="35" t="s">
        <v>59</v>
      </c>
      <c r="I30" s="35"/>
      <c r="J30" s="35"/>
      <c r="K30" s="36"/>
      <c r="L30" s="36"/>
      <c r="M30" s="36"/>
      <c r="N30" s="36"/>
    </row>
    <row r="31" spans="6:14" ht="13.5">
      <c r="F31" s="35" t="s">
        <v>5</v>
      </c>
      <c r="G31" s="35"/>
      <c r="H31" s="20"/>
      <c r="I31" s="20"/>
      <c r="J31" s="20"/>
      <c r="K31" s="33"/>
      <c r="L31" s="33"/>
      <c r="M31" s="33"/>
      <c r="N31" s="33"/>
    </row>
    <row r="32" spans="6:14" ht="13.5">
      <c r="F32" s="20" t="s">
        <v>31</v>
      </c>
      <c r="G32" s="20"/>
      <c r="H32" s="35"/>
      <c r="I32" s="35"/>
      <c r="J32" s="35"/>
      <c r="K32" s="36"/>
      <c r="L32" s="36"/>
      <c r="M32" s="36"/>
      <c r="N32" s="36"/>
    </row>
    <row r="33" spans="6:14" ht="8.25" customHeight="1">
      <c r="F33" s="20"/>
      <c r="G33" s="20"/>
      <c r="H33" s="35"/>
      <c r="I33" s="35"/>
      <c r="J33" s="35"/>
      <c r="K33" s="36"/>
      <c r="L33" s="36"/>
      <c r="M33" s="36"/>
      <c r="N33" s="36"/>
    </row>
    <row r="34" spans="6:20" ht="13.5">
      <c r="F34" s="20"/>
      <c r="G34" s="20"/>
      <c r="H34" s="152">
        <v>45036</v>
      </c>
      <c r="I34" s="152"/>
      <c r="J34" s="20"/>
      <c r="K34" s="33"/>
      <c r="L34" s="33"/>
      <c r="M34" s="33"/>
      <c r="N34" s="33"/>
      <c r="O34" s="37"/>
      <c r="P34" s="37"/>
      <c r="Q34" s="37"/>
      <c r="R34" s="37"/>
      <c r="S34" s="37"/>
      <c r="T34" s="37"/>
    </row>
    <row r="35" spans="6:14" ht="13.5">
      <c r="F35" s="20"/>
      <c r="G35" s="20"/>
      <c r="H35" s="20"/>
      <c r="I35" s="20"/>
      <c r="J35" s="20"/>
      <c r="K35" s="33"/>
      <c r="L35" s="33"/>
      <c r="M35" s="33"/>
      <c r="N35" s="33"/>
    </row>
    <row r="36" spans="6:14" ht="13.5">
      <c r="F36" s="20"/>
      <c r="G36" s="20"/>
      <c r="H36" s="20"/>
      <c r="J36" s="153" t="str">
        <f>'[1]Menu'!C6</f>
        <v>宮崎県立ひむか工業高等学校</v>
      </c>
      <c r="K36" s="153"/>
      <c r="L36" s="153"/>
      <c r="M36" s="38" t="s">
        <v>129</v>
      </c>
      <c r="N36" s="33"/>
    </row>
    <row r="37" spans="6:14" ht="13.5">
      <c r="F37" s="20"/>
      <c r="G37" s="20"/>
      <c r="H37" s="20"/>
      <c r="I37" s="20"/>
      <c r="J37" s="20"/>
      <c r="K37" s="33"/>
      <c r="L37" s="33"/>
      <c r="M37" s="33"/>
      <c r="N37" s="33"/>
    </row>
    <row r="39" spans="11:14" s="54" customFormat="1" ht="13.5">
      <c r="K39" s="55"/>
      <c r="L39" s="55"/>
      <c r="M39" s="55"/>
      <c r="N39" s="55"/>
    </row>
    <row r="40" spans="11:14" s="54" customFormat="1" ht="12" customHeight="1" hidden="1">
      <c r="K40" s="55"/>
      <c r="L40" s="55"/>
      <c r="M40" s="55"/>
      <c r="N40" s="55"/>
    </row>
    <row r="41" spans="8:14" s="54" customFormat="1" ht="13.5" hidden="1">
      <c r="H41" s="54" t="s">
        <v>53</v>
      </c>
      <c r="J41" s="54" t="s">
        <v>90</v>
      </c>
      <c r="K41" s="54" t="s">
        <v>41</v>
      </c>
      <c r="L41" s="54" t="s">
        <v>45</v>
      </c>
      <c r="M41" s="54">
        <v>5</v>
      </c>
      <c r="N41" s="56" t="str">
        <f>'[1]Menu'!C26</f>
        <v>令和４年４月２８日（金）</v>
      </c>
    </row>
    <row r="42" spans="8:14" s="54" customFormat="1" ht="13.5" hidden="1">
      <c r="H42" s="54" t="s">
        <v>54</v>
      </c>
      <c r="J42" s="54" t="s">
        <v>56</v>
      </c>
      <c r="K42" s="54" t="s">
        <v>46</v>
      </c>
      <c r="L42" s="54" t="s">
        <v>46</v>
      </c>
      <c r="M42" s="54">
        <v>6</v>
      </c>
      <c r="N42" s="56" t="str">
        <f>'[1]Menu'!C27</f>
        <v>令和４年７月１３日（木）</v>
      </c>
    </row>
    <row r="43" spans="8:14" s="54" customFormat="1" ht="13.5" hidden="1">
      <c r="H43" s="54" t="s">
        <v>55</v>
      </c>
      <c r="J43" s="54" t="s">
        <v>57</v>
      </c>
      <c r="K43" s="54" t="s">
        <v>41</v>
      </c>
      <c r="L43" s="54" t="s">
        <v>56</v>
      </c>
      <c r="M43" s="54">
        <v>9</v>
      </c>
      <c r="N43" s="56" t="str">
        <f>'[1]Menu'!C28</f>
        <v>令和４年９月２０日（水）</v>
      </c>
    </row>
    <row r="44" spans="11:36" s="54" customFormat="1" ht="22.5" customHeight="1" hidden="1">
      <c r="K44" s="55"/>
      <c r="L44" s="55"/>
      <c r="M44" s="55"/>
      <c r="N44" s="55"/>
      <c r="AJ44" s="57"/>
    </row>
    <row r="45" spans="11:36" s="54" customFormat="1" ht="13.5">
      <c r="K45" s="55"/>
      <c r="L45" s="55"/>
      <c r="M45" s="55"/>
      <c r="N45" s="55"/>
      <c r="AI45" s="57"/>
      <c r="AJ45" s="58"/>
    </row>
    <row r="46" spans="11:36" s="54" customFormat="1" ht="13.5">
      <c r="K46" s="55"/>
      <c r="M46" s="55"/>
      <c r="N46" s="55"/>
      <c r="AI46" s="55"/>
      <c r="AJ46" s="58"/>
    </row>
    <row r="47" spans="12:36" ht="13.5">
      <c r="L47" s="19"/>
      <c r="AJ47" s="15"/>
    </row>
    <row r="48" spans="12:35" ht="13.5">
      <c r="L48" s="19"/>
      <c r="AI48" s="14"/>
    </row>
    <row r="49" spans="6:7" ht="13.5">
      <c r="F49" s="43" t="s">
        <v>52</v>
      </c>
      <c r="G49" s="43"/>
    </row>
    <row r="90" ht="14.25" thickBot="1"/>
    <row r="91" spans="32:34" ht="13.5">
      <c r="AF91" s="39" t="s">
        <v>3</v>
      </c>
      <c r="AG91" s="21" t="s">
        <v>124</v>
      </c>
      <c r="AH91" s="22" t="s">
        <v>125</v>
      </c>
    </row>
    <row r="92" spans="32:34" ht="13.5">
      <c r="AF92" s="40" t="s">
        <v>4</v>
      </c>
      <c r="AG92" s="148" t="s">
        <v>126</v>
      </c>
      <c r="AH92" s="149"/>
    </row>
    <row r="93" spans="32:34" ht="13.5">
      <c r="AF93" s="40" t="s">
        <v>25</v>
      </c>
      <c r="AG93" s="150" t="s">
        <v>127</v>
      </c>
      <c r="AH93" s="151"/>
    </row>
    <row r="94" spans="32:34" ht="13.5">
      <c r="AF94" s="40" t="s">
        <v>36</v>
      </c>
      <c r="AG94" s="150" t="s">
        <v>127</v>
      </c>
      <c r="AH94" s="151"/>
    </row>
    <row r="95" spans="32:34" ht="14.25" thickBot="1">
      <c r="AF95" s="41" t="s">
        <v>30</v>
      </c>
      <c r="AG95" s="146" t="s">
        <v>128</v>
      </c>
      <c r="AH95" s="147"/>
    </row>
  </sheetData>
  <sheetProtection/>
  <mergeCells count="17">
    <mergeCell ref="AG92:AH92"/>
    <mergeCell ref="AG93:AH93"/>
    <mergeCell ref="AG94:AH94"/>
    <mergeCell ref="AG95:AH95"/>
    <mergeCell ref="G12:H12"/>
    <mergeCell ref="AF12:AG12"/>
    <mergeCell ref="AG13:AH13"/>
    <mergeCell ref="M25:N25"/>
    <mergeCell ref="H34:I34"/>
    <mergeCell ref="J36:L36"/>
    <mergeCell ref="E1:N1"/>
    <mergeCell ref="F3:H3"/>
    <mergeCell ref="F10:F11"/>
    <mergeCell ref="G10:H11"/>
    <mergeCell ref="I10:I11"/>
    <mergeCell ref="J10:J11"/>
    <mergeCell ref="N10:N11"/>
  </mergeCells>
  <conditionalFormatting sqref="AG14:AG15">
    <cfRule type="cellIs" priority="1" dxfId="6" operator="equal" stopIfTrue="1">
      <formula>"申し込みに不備が有ります"</formula>
    </cfRule>
  </conditionalFormatting>
  <conditionalFormatting sqref="AG13:AH13">
    <cfRule type="cellIs" priority="2" dxfId="6" operator="equal" stopIfTrue="1">
      <formula>"参加しません"</formula>
    </cfRule>
  </conditionalFormatting>
  <dataValidations count="7">
    <dataValidation type="list" allowBlank="1" showInputMessage="1" showErrorMessage="1" sqref="K13:K24">
      <formula1>$X$10:$X$19</formula1>
    </dataValidation>
    <dataValidation type="list" allowBlank="1" showInputMessage="1" showErrorMessage="1" sqref="E1">
      <formula1>$H$41:$H$43</formula1>
    </dataValidation>
    <dataValidation type="list" allowBlank="1" showInputMessage="1" showErrorMessage="1" sqref="I3">
      <formula1>$V$6:$V$9</formula1>
    </dataValidation>
    <dataValidation type="list" allowBlank="1" showInputMessage="1" showErrorMessage="1" imeMode="off" sqref="J13:J24">
      <formula1>$S$13:$S$15</formula1>
    </dataValidation>
    <dataValidation type="list" allowBlank="1" showInputMessage="1" showErrorMessage="1" imeMode="off" sqref="M13:M24">
      <formula1>$Y$9:$Y$26</formula1>
    </dataValidation>
    <dataValidation type="list" allowBlank="1" showInputMessage="1" showErrorMessage="1" imeMode="off" sqref="L13:L24">
      <formula1>$Z$9:$Z$19</formula1>
    </dataValidation>
    <dataValidation allowBlank="1" showInputMessage="1" showErrorMessage="1" imeMode="on" sqref="N13:N24 H13:I24"/>
  </dataValidations>
  <hyperlinks>
    <hyperlink ref="F49" location="処理用!A1" display="処理用!A1"/>
  </hyperlink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食品科学科</dc:creator>
  <cp:keywords/>
  <dc:description/>
  <cp:lastModifiedBy>Administrator</cp:lastModifiedBy>
  <cp:lastPrinted>2014-04-22T09:33:43Z</cp:lastPrinted>
  <dcterms:created xsi:type="dcterms:W3CDTF">2003-09-29T05:43:33Z</dcterms:created>
  <dcterms:modified xsi:type="dcterms:W3CDTF">2023-03-14T23:51:36Z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